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peralevi\Desktop\"/>
    </mc:Choice>
  </mc:AlternateContent>
  <xr:revisionPtr revIDLastSave="0" documentId="8_{7A911B2B-102B-40D8-A6D1-A473C344349C}" xr6:coauthVersionLast="47" xr6:coauthVersionMax="47" xr10:uidLastSave="{00000000-0000-0000-0000-000000000000}"/>
  <bookViews>
    <workbookView xWindow="1170" yWindow="990" windowWidth="19755" windowHeight="12510" tabRatio="931" firstSheet="4" activeTab="10" xr2:uid="{00000000-000D-0000-FFFF-FFFF00000000}"/>
  </bookViews>
  <sheets>
    <sheet name="Start &amp; resultat" sheetId="43" r:id="rId1"/>
    <sheet name="A. Byggnadsinfo med BBR" sheetId="33" r:id="rId2"/>
    <sheet name="B1. Resultat beräkning" sheetId="35" r:id="rId3"/>
    <sheet name="B2. Indata beräkning" sheetId="37" r:id="rId4"/>
    <sheet name="UHM" sheetId="50" r:id="rId5"/>
    <sheet name="VFT" sheetId="49" r:id="rId6"/>
    <sheet name="C1. Resultat mätning" sheetId="18" r:id="rId7"/>
    <sheet name="PETberäkning" sheetId="46" r:id="rId8"/>
    <sheet name="C2. Inmatning och verifiering" sheetId="47" r:id="rId9"/>
    <sheet name="C3. Normaliseringsunderlag" sheetId="13" r:id="rId10"/>
    <sheet name="C4. Underlag-mätplan" sheetId="20" r:id="rId11"/>
    <sheet name="Fgeo" sheetId="41" state="hidden" r:id="rId12"/>
  </sheets>
  <definedNames>
    <definedName name="_xlnm._FilterDatabase" localSheetId="8" hidden="1">'C2. Inmatning och verifiering'!$A$12:$A$54</definedName>
    <definedName name="_Toc275512702" localSheetId="2">'B1. Resultat beräkning'!#REF!</definedName>
    <definedName name="Atemp">'B2. Indata beräkning'!#REF!</definedName>
    <definedName name="BBRversion">Fgeo!$F$21:$H$21</definedName>
    <definedName name="ByggnadsID">'A. Byggnadsinfo med BBR'!#REF!</definedName>
    <definedName name="Byggnadskategori">Fgeo!$F$18:$I$18</definedName>
    <definedName name="Byggnadskomplexitet">Fgeo!$F$19:$H$19</definedName>
    <definedName name="Byggnadstyp">Fgeo!$F$20:$H$20</definedName>
    <definedName name="Egen_beteckning">'A. Byggnadsinfo med BBR'!$C$10</definedName>
    <definedName name="Fastighetsbeteckning">'A. Byggnadsinfo med BBR'!#REF!</definedName>
    <definedName name="Fgeo">#REF!</definedName>
    <definedName name="Fgeo_aktuell">#REF!</definedName>
    <definedName name="Kommun">'A. Byggnadsinfo med BBR'!$C$6</definedName>
    <definedName name="Kommunnamn" localSheetId="8">Tabell1[KOMMUNNAMN]</definedName>
    <definedName name="Kommunnamn">Tabell1[KOMMUNNAMN]</definedName>
    <definedName name="Län">'A. Byggnadsinfo med BBR'!#REF!</definedName>
    <definedName name="_xlnm.Print_Area" localSheetId="6">'C1. Resultat mätning'!$A$1:$Q$76</definedName>
    <definedName name="_xlnm.Print_Area" localSheetId="8">'C2. Inmatning och verifiering'!$A$2:$AV$55</definedName>
    <definedName name="_xlnm.Print_Area" localSheetId="9">'C3. Normaliseringsunderlag'!$A$1:$N$88</definedName>
    <definedName name="_xlnm.Print_Area" localSheetId="10">'C4. Underlag-mätplan'!$A$1:$L$56</definedName>
    <definedName name="UUID">'A. Byggnadsinfo med BBR'!$C$10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50" l="1"/>
  <c r="F32" i="50"/>
  <c r="D27" i="50"/>
  <c r="F27" i="50"/>
  <c r="E27" i="50"/>
  <c r="E29" i="50" s="1"/>
  <c r="F26" i="50"/>
  <c r="K5" i="50"/>
  <c r="L5" i="50"/>
  <c r="M5" i="50"/>
  <c r="M15" i="50" s="1"/>
  <c r="N5" i="50"/>
  <c r="K6" i="50"/>
  <c r="L6" i="50"/>
  <c r="L15" i="50" s="1"/>
  <c r="M6" i="50"/>
  <c r="N6" i="50"/>
  <c r="N15" i="50" s="1"/>
  <c r="K7" i="50"/>
  <c r="L7" i="50"/>
  <c r="M7" i="50"/>
  <c r="N7" i="50"/>
  <c r="K8" i="50"/>
  <c r="L8" i="50"/>
  <c r="M8" i="50"/>
  <c r="N8" i="50"/>
  <c r="K9" i="50"/>
  <c r="L9" i="50"/>
  <c r="M9" i="50"/>
  <c r="K10" i="50"/>
  <c r="L10" i="50"/>
  <c r="M10" i="50"/>
  <c r="K11" i="50"/>
  <c r="L11" i="50"/>
  <c r="M11" i="50"/>
  <c r="K13" i="50"/>
  <c r="L13" i="50"/>
  <c r="M13" i="50"/>
  <c r="K14" i="50"/>
  <c r="L14" i="50"/>
  <c r="M14" i="50"/>
  <c r="K15" i="50"/>
  <c r="J10" i="49" a="1"/>
  <c r="J10" i="49" s="1"/>
  <c r="D29" i="50"/>
  <c r="E28" i="50"/>
  <c r="F28" i="50"/>
  <c r="D28" i="50"/>
  <c r="G22" i="50"/>
  <c r="G21" i="50"/>
  <c r="E6" i="50" l="1"/>
  <c r="D6" i="50"/>
  <c r="E25" i="50"/>
  <c r="D25" i="50"/>
  <c r="E21" i="50"/>
  <c r="D21" i="50"/>
  <c r="E8" i="50"/>
  <c r="F8" i="50"/>
  <c r="D8" i="50"/>
  <c r="E32" i="50" l="1"/>
  <c r="D32" i="50"/>
  <c r="E26" i="50"/>
  <c r="D26" i="50"/>
  <c r="D23" i="50"/>
  <c r="E22" i="50"/>
  <c r="E23" i="50"/>
  <c r="D22" i="50"/>
  <c r="E7" i="50"/>
  <c r="D7" i="50"/>
  <c r="E5" i="50"/>
  <c r="D5" i="50"/>
  <c r="Q18" i="49"/>
  <c r="D11" i="50"/>
  <c r="E11" i="50"/>
  <c r="F11" i="50"/>
  <c r="E14" i="50"/>
  <c r="F14" i="50"/>
  <c r="D14" i="50"/>
  <c r="E13" i="50"/>
  <c r="F13" i="50"/>
  <c r="D13" i="50"/>
  <c r="E10" i="50"/>
  <c r="F10" i="50"/>
  <c r="D10" i="50"/>
  <c r="E9" i="50"/>
  <c r="F9" i="50"/>
  <c r="D9" i="50"/>
  <c r="G18" i="50"/>
  <c r="F18" i="50"/>
  <c r="E18" i="50"/>
  <c r="D18" i="50"/>
  <c r="D16" i="49" l="1"/>
  <c r="D25" i="13"/>
  <c r="D18" i="49"/>
  <c r="H15" i="37" l="1"/>
  <c r="E15" i="37"/>
  <c r="H7" i="37"/>
  <c r="E7" i="37"/>
  <c r="Q26" i="47"/>
  <c r="E49" i="35" l="1"/>
  <c r="D11" i="46"/>
  <c r="D12" i="46"/>
  <c r="D13" i="46"/>
  <c r="D14" i="46"/>
  <c r="D15" i="46"/>
  <c r="D16" i="46"/>
  <c r="D17" i="46"/>
  <c r="D18" i="46"/>
  <c r="D19" i="46"/>
  <c r="D20" i="46"/>
  <c r="D21" i="46"/>
  <c r="D22" i="46"/>
  <c r="D23" i="46"/>
  <c r="D24" i="46"/>
  <c r="D25" i="46"/>
  <c r="D26" i="46"/>
  <c r="D27" i="46"/>
  <c r="D28" i="46"/>
  <c r="D29" i="46"/>
  <c r="D30" i="46"/>
  <c r="D10" i="46"/>
  <c r="C11" i="46"/>
  <c r="C12" i="46"/>
  <c r="C13" i="46"/>
  <c r="C14" i="46"/>
  <c r="C15" i="46"/>
  <c r="C16" i="46"/>
  <c r="C17" i="46"/>
  <c r="C18" i="46"/>
  <c r="C19" i="46"/>
  <c r="C20" i="46"/>
  <c r="C21" i="46"/>
  <c r="C22" i="46"/>
  <c r="C23" i="46"/>
  <c r="C24" i="46"/>
  <c r="C25" i="46"/>
  <c r="C26" i="46"/>
  <c r="C27" i="46"/>
  <c r="C28" i="46"/>
  <c r="C29" i="46"/>
  <c r="C30" i="46"/>
  <c r="C10" i="46"/>
  <c r="D49" i="35"/>
  <c r="F26" i="35"/>
  <c r="E26" i="35"/>
  <c r="F49" i="35"/>
  <c r="F15" i="43"/>
  <c r="C35" i="18"/>
  <c r="C52" i="18"/>
  <c r="C69" i="18"/>
  <c r="D31" i="13"/>
  <c r="D30" i="13"/>
  <c r="D29" i="13"/>
  <c r="D28" i="13"/>
  <c r="D27" i="13"/>
  <c r="D26" i="13"/>
  <c r="C62" i="18"/>
  <c r="C31" i="18"/>
  <c r="C48" i="18" s="1"/>
  <c r="C30" i="18"/>
  <c r="C47" i="18" s="1"/>
  <c r="C29" i="18"/>
  <c r="C46" i="18" s="1"/>
  <c r="C28" i="18"/>
  <c r="C45" i="18" s="1"/>
  <c r="C27" i="18"/>
  <c r="C61" i="18" s="1"/>
  <c r="C26" i="18"/>
  <c r="C60" i="18" s="1"/>
  <c r="E8" i="49"/>
  <c r="D8" i="49"/>
  <c r="Q15" i="49"/>
  <c r="Q16" i="49"/>
  <c r="Q17" i="49"/>
  <c r="Q19" i="49"/>
  <c r="Q20" i="49"/>
  <c r="Q21" i="49"/>
  <c r="Q22" i="49"/>
  <c r="Q23" i="49"/>
  <c r="Q24" i="49"/>
  <c r="Q25" i="49"/>
  <c r="Q26" i="49"/>
  <c r="Q27" i="49"/>
  <c r="Q28" i="49"/>
  <c r="Q29" i="49"/>
  <c r="Q30" i="49"/>
  <c r="Q31" i="49"/>
  <c r="Q32" i="49"/>
  <c r="Q33" i="49"/>
  <c r="Q34" i="49"/>
  <c r="Q35" i="49"/>
  <c r="Q36" i="49"/>
  <c r="Q37" i="49"/>
  <c r="Q38" i="49"/>
  <c r="Q39" i="49"/>
  <c r="Q40" i="49"/>
  <c r="Q41" i="49"/>
  <c r="Q42" i="49"/>
  <c r="Q43" i="49"/>
  <c r="Q44" i="49"/>
  <c r="Q45" i="49"/>
  <c r="Q46" i="49"/>
  <c r="Q47" i="49"/>
  <c r="Q48" i="49"/>
  <c r="Q49" i="49"/>
  <c r="Q50" i="49"/>
  <c r="Q51" i="49"/>
  <c r="Q52" i="49"/>
  <c r="Q53" i="49"/>
  <c r="Q54" i="49"/>
  <c r="Q55" i="49"/>
  <c r="Q56" i="49"/>
  <c r="Q57" i="49"/>
  <c r="Q58" i="49"/>
  <c r="Q59" i="49"/>
  <c r="Q60" i="49"/>
  <c r="Q61" i="49"/>
  <c r="Q62" i="49"/>
  <c r="Q63" i="49"/>
  <c r="Q64" i="49"/>
  <c r="Q65" i="49"/>
  <c r="Q14" i="49"/>
  <c r="D62" i="33"/>
  <c r="D61" i="33"/>
  <c r="E55" i="33"/>
  <c r="K62" i="33"/>
  <c r="C43" i="18" l="1"/>
  <c r="C44" i="18"/>
  <c r="C65" i="18"/>
  <c r="C64" i="18"/>
  <c r="C63" i="18"/>
  <c r="E54" i="33"/>
  <c r="J67" i="33"/>
  <c r="J68" i="33"/>
  <c r="E15" i="43"/>
  <c r="C8" i="43"/>
  <c r="F18" i="46"/>
  <c r="G18" i="46"/>
  <c r="G21" i="46"/>
  <c r="G20" i="46"/>
  <c r="G19" i="46"/>
  <c r="F21" i="46"/>
  <c r="F20" i="46"/>
  <c r="F19" i="46"/>
  <c r="E21" i="46"/>
  <c r="G27" i="46"/>
  <c r="F27" i="46"/>
  <c r="G23" i="46"/>
  <c r="G22" i="46"/>
  <c r="F23" i="46"/>
  <c r="F22" i="46"/>
  <c r="G13" i="46"/>
  <c r="F13" i="46"/>
  <c r="G12" i="46"/>
  <c r="F12" i="46"/>
  <c r="G11" i="46"/>
  <c r="F11" i="46"/>
  <c r="G17" i="46"/>
  <c r="F17" i="46"/>
  <c r="E17" i="46"/>
  <c r="G16" i="46"/>
  <c r="F16" i="46"/>
  <c r="E16" i="46"/>
  <c r="G15" i="46"/>
  <c r="F15" i="46"/>
  <c r="G14" i="46"/>
  <c r="F14" i="46"/>
  <c r="E14" i="46"/>
  <c r="F10" i="46"/>
  <c r="G10" i="46"/>
  <c r="D55" i="18"/>
  <c r="D54" i="18"/>
  <c r="D53" i="18"/>
  <c r="D52" i="18"/>
  <c r="D72" i="18"/>
  <c r="D71" i="18"/>
  <c r="D70" i="18"/>
  <c r="D69" i="18"/>
  <c r="D48" i="18"/>
  <c r="E48" i="18" s="1"/>
  <c r="D65" i="18"/>
  <c r="E65" i="18" s="1"/>
  <c r="E47" i="18"/>
  <c r="E46" i="18"/>
  <c r="E63" i="18"/>
  <c r="E64" i="18"/>
  <c r="D47" i="18"/>
  <c r="D46" i="18"/>
  <c r="D64" i="18"/>
  <c r="D63" i="18"/>
  <c r="D62" i="18"/>
  <c r="F62" i="18" s="1"/>
  <c r="D45" i="18"/>
  <c r="F45" i="18" s="1"/>
  <c r="F65" i="18"/>
  <c r="F64" i="18"/>
  <c r="F63" i="18"/>
  <c r="F61" i="18"/>
  <c r="F60" i="18"/>
  <c r="F48" i="18"/>
  <c r="F47" i="18"/>
  <c r="F46" i="18"/>
  <c r="F44" i="18"/>
  <c r="F43" i="18"/>
  <c r="F30" i="18"/>
  <c r="F31" i="18"/>
  <c r="F29" i="18"/>
  <c r="D61" i="18"/>
  <c r="D60" i="18"/>
  <c r="D44" i="18"/>
  <c r="D43" i="18"/>
  <c r="D54" i="13"/>
  <c r="F54" i="13" s="1"/>
  <c r="D55" i="13"/>
  <c r="D83" i="13" s="1"/>
  <c r="D56" i="13"/>
  <c r="F56" i="13" s="1"/>
  <c r="D57" i="13"/>
  <c r="F57" i="13" s="1"/>
  <c r="D58" i="13"/>
  <c r="D86" i="13" s="1"/>
  <c r="F86" i="13" s="1"/>
  <c r="D59" i="13"/>
  <c r="F59" i="13" s="1"/>
  <c r="F31" i="13"/>
  <c r="F30" i="13"/>
  <c r="F29" i="13"/>
  <c r="F26" i="13"/>
  <c r="F27" i="18" s="1"/>
  <c r="F25" i="13"/>
  <c r="F26" i="18" s="1"/>
  <c r="F28" i="13"/>
  <c r="F27" i="13"/>
  <c r="J58" i="18"/>
  <c r="J41" i="18"/>
  <c r="J24" i="18"/>
  <c r="F58" i="18"/>
  <c r="F41" i="18"/>
  <c r="D87" i="13" l="1"/>
  <c r="F87" i="13" s="1"/>
  <c r="F58" i="13"/>
  <c r="F56" i="18"/>
  <c r="D85" i="13"/>
  <c r="F85" i="13" s="1"/>
  <c r="D84" i="13"/>
  <c r="F84" i="13" s="1"/>
  <c r="D82" i="13"/>
  <c r="F82" i="13" s="1"/>
  <c r="F73" i="18"/>
  <c r="F83" i="13"/>
  <c r="F55" i="13"/>
  <c r="D38" i="18"/>
  <c r="D36" i="18"/>
  <c r="D37" i="18"/>
  <c r="D35" i="18"/>
  <c r="Y14" i="47" l="1"/>
  <c r="Y15" i="47"/>
  <c r="Y16" i="47"/>
  <c r="Y17" i="47"/>
  <c r="Y18" i="47"/>
  <c r="Y19" i="47"/>
  <c r="Y20" i="47"/>
  <c r="Y21" i="47"/>
  <c r="Y22" i="47"/>
  <c r="Y23" i="47"/>
  <c r="Y24" i="47"/>
  <c r="G26" i="47"/>
  <c r="G40" i="47"/>
  <c r="G54" i="47"/>
  <c r="Y13" i="47"/>
  <c r="S25" i="47"/>
  <c r="X25" i="47" s="1"/>
  <c r="AA25" i="47" s="1"/>
  <c r="S14" i="47"/>
  <c r="X14" i="47" s="1"/>
  <c r="S15" i="47"/>
  <c r="X15" i="47" s="1"/>
  <c r="S16" i="47"/>
  <c r="X16" i="47" s="1"/>
  <c r="S17" i="47"/>
  <c r="X17" i="47" s="1"/>
  <c r="S18" i="47"/>
  <c r="X18" i="47" s="1"/>
  <c r="S19" i="47"/>
  <c r="X19" i="47" s="1"/>
  <c r="AA19" i="47" s="1"/>
  <c r="S20" i="47"/>
  <c r="X20" i="47" s="1"/>
  <c r="S21" i="47"/>
  <c r="X21" i="47" s="1"/>
  <c r="S22" i="47"/>
  <c r="S23" i="47"/>
  <c r="X23" i="47" s="1"/>
  <c r="AA23" i="47" s="1"/>
  <c r="S24" i="47"/>
  <c r="X24" i="47" s="1"/>
  <c r="O26" i="47"/>
  <c r="S13" i="47"/>
  <c r="X13" i="47" s="1"/>
  <c r="Q40" i="47"/>
  <c r="Q54" i="47"/>
  <c r="AA17" i="47" l="1"/>
  <c r="AK24" i="47"/>
  <c r="AA24" i="47"/>
  <c r="AK16" i="47"/>
  <c r="AA16" i="47"/>
  <c r="AK20" i="47"/>
  <c r="AA20" i="47"/>
  <c r="AK19" i="47"/>
  <c r="AK13" i="47"/>
  <c r="AA13" i="47"/>
  <c r="AK18" i="47"/>
  <c r="AA18" i="47"/>
  <c r="AK17" i="47"/>
  <c r="AK25" i="47"/>
  <c r="AK15" i="47"/>
  <c r="X22" i="47"/>
  <c r="AA22" i="47" s="1"/>
  <c r="AK23" i="47"/>
  <c r="AK14" i="47"/>
  <c r="AK21" i="47"/>
  <c r="D17" i="49"/>
  <c r="E23" i="43" s="1"/>
  <c r="X26" i="47" l="1"/>
  <c r="AK22" i="47"/>
  <c r="E43" i="33"/>
  <c r="C5" i="43"/>
  <c r="D51" i="33"/>
  <c r="D4" i="20"/>
  <c r="D4" i="47"/>
  <c r="G28" i="50" l="1"/>
  <c r="G8" i="50"/>
  <c r="F25" i="50"/>
  <c r="F6" i="50"/>
  <c r="F23" i="50"/>
  <c r="F21" i="50"/>
  <c r="G24" i="50"/>
  <c r="F7" i="50"/>
  <c r="F5" i="50"/>
  <c r="F22" i="50"/>
  <c r="I87" i="13"/>
  <c r="I83" i="13"/>
  <c r="I58" i="13"/>
  <c r="I54" i="13"/>
  <c r="I29" i="13"/>
  <c r="I25" i="13"/>
  <c r="J73" i="18"/>
  <c r="H72" i="18"/>
  <c r="I62" i="18"/>
  <c r="I64" i="18"/>
  <c r="J60" i="18"/>
  <c r="H54" i="18"/>
  <c r="G45" i="18"/>
  <c r="G47" i="18"/>
  <c r="H43" i="18"/>
  <c r="H36" i="18"/>
  <c r="H87" i="13"/>
  <c r="H83" i="13"/>
  <c r="H58" i="13"/>
  <c r="H54" i="13"/>
  <c r="H29" i="13"/>
  <c r="H25" i="13"/>
  <c r="H73" i="18"/>
  <c r="H69" i="18"/>
  <c r="J62" i="18"/>
  <c r="J64" i="18"/>
  <c r="G60" i="18"/>
  <c r="G55" i="18"/>
  <c r="H45" i="18"/>
  <c r="H47" i="18"/>
  <c r="H35" i="18"/>
  <c r="I81" i="13"/>
  <c r="I56" i="13"/>
  <c r="I27" i="13"/>
  <c r="H70" i="18"/>
  <c r="H61" i="18"/>
  <c r="I65" i="18"/>
  <c r="G56" i="18"/>
  <c r="G46" i="18"/>
  <c r="H64" i="18"/>
  <c r="J46" i="18"/>
  <c r="H37" i="18"/>
  <c r="I86" i="13"/>
  <c r="I82" i="13"/>
  <c r="I57" i="13"/>
  <c r="I53" i="13"/>
  <c r="I28" i="13"/>
  <c r="G73" i="18"/>
  <c r="G69" i="18"/>
  <c r="G63" i="18"/>
  <c r="G65" i="18"/>
  <c r="J56" i="18"/>
  <c r="H55" i="18"/>
  <c r="I45" i="18"/>
  <c r="I47" i="18"/>
  <c r="J43" i="18"/>
  <c r="J31" i="18"/>
  <c r="H86" i="13"/>
  <c r="H82" i="13"/>
  <c r="H57" i="13"/>
  <c r="H53" i="13"/>
  <c r="H28" i="13"/>
  <c r="G70" i="18"/>
  <c r="G61" i="18"/>
  <c r="H63" i="18"/>
  <c r="H65" i="18"/>
  <c r="H56" i="18"/>
  <c r="H52" i="18"/>
  <c r="J45" i="18"/>
  <c r="J47" i="18"/>
  <c r="G43" i="18"/>
  <c r="J30" i="18"/>
  <c r="I85" i="13"/>
  <c r="I31" i="13"/>
  <c r="I63" i="18"/>
  <c r="G52" i="18"/>
  <c r="G48" i="18"/>
  <c r="J29" i="18"/>
  <c r="G72" i="18"/>
  <c r="J44" i="18"/>
  <c r="J48" i="18"/>
  <c r="H29" i="18"/>
  <c r="H85" i="13"/>
  <c r="H81" i="13"/>
  <c r="H56" i="13"/>
  <c r="H31" i="13"/>
  <c r="H27" i="13"/>
  <c r="G71" i="18"/>
  <c r="J61" i="18"/>
  <c r="J63" i="18"/>
  <c r="J65" i="18"/>
  <c r="G53" i="18"/>
  <c r="G44" i="18"/>
  <c r="H46" i="18"/>
  <c r="H48" i="18"/>
  <c r="I84" i="13"/>
  <c r="I59" i="13"/>
  <c r="I55" i="13"/>
  <c r="I30" i="13"/>
  <c r="I26" i="13"/>
  <c r="H71" i="18"/>
  <c r="G62" i="18"/>
  <c r="G64" i="18"/>
  <c r="H60" i="18"/>
  <c r="H53" i="18"/>
  <c r="H44" i="18"/>
  <c r="I46" i="18"/>
  <c r="I48" i="18"/>
  <c r="H38" i="18"/>
  <c r="J27" i="18"/>
  <c r="H84" i="13"/>
  <c r="H59" i="13"/>
  <c r="H55" i="13"/>
  <c r="H30" i="13"/>
  <c r="H26" i="13"/>
  <c r="H62" i="18"/>
  <c r="G54" i="18"/>
  <c r="J26" i="18"/>
  <c r="G70" i="33"/>
  <c r="D69" i="33"/>
  <c r="D70" i="33"/>
  <c r="D5" i="46"/>
  <c r="E51" i="33"/>
  <c r="C6" i="46" s="1"/>
  <c r="E44" i="33"/>
  <c r="W4" i="47"/>
  <c r="E6" i="49"/>
  <c r="F70" i="33"/>
  <c r="E69" i="33"/>
  <c r="F69" i="33"/>
  <c r="E70" i="33"/>
  <c r="H69" i="33"/>
  <c r="G69" i="33"/>
  <c r="H70" i="33"/>
  <c r="E45" i="33"/>
  <c r="E49" i="33"/>
  <c r="D49" i="33"/>
  <c r="E50" i="33"/>
  <c r="C7" i="43"/>
  <c r="AK42" i="47"/>
  <c r="AK43" i="47"/>
  <c r="AK44" i="47"/>
  <c r="AK45" i="47"/>
  <c r="AK46" i="47"/>
  <c r="AK47" i="47"/>
  <c r="AK48" i="47"/>
  <c r="AK49" i="47"/>
  <c r="AK50" i="47"/>
  <c r="AK51" i="47"/>
  <c r="AK52" i="47"/>
  <c r="AK53" i="47"/>
  <c r="AK41" i="47"/>
  <c r="AK28" i="47"/>
  <c r="AK29" i="47"/>
  <c r="AK30" i="47"/>
  <c r="AK31" i="47"/>
  <c r="AK32" i="47"/>
  <c r="AK33" i="47"/>
  <c r="AK34" i="47"/>
  <c r="AK35" i="47"/>
  <c r="AK36" i="47"/>
  <c r="AK37" i="47"/>
  <c r="AK38" i="47"/>
  <c r="AK39" i="47"/>
  <c r="AK27" i="47"/>
  <c r="D4" i="13"/>
  <c r="F15" i="50" l="1"/>
  <c r="J13" i="49"/>
  <c r="G23" i="43" s="1"/>
  <c r="AI7" i="47"/>
  <c r="AI6" i="47"/>
  <c r="E52" i="33"/>
  <c r="E61" i="33"/>
  <c r="E62" i="33"/>
  <c r="AK54" i="47"/>
  <c r="AK40" i="47"/>
  <c r="E53" i="33"/>
  <c r="C6" i="43"/>
  <c r="F20" i="50" l="1"/>
  <c r="F21" i="43"/>
  <c r="E63" i="33"/>
  <c r="D14" i="43" s="1"/>
  <c r="AR42" i="47"/>
  <c r="AR43" i="47"/>
  <c r="AR44" i="47"/>
  <c r="AR45" i="47"/>
  <c r="AR46" i="47"/>
  <c r="AR47" i="47"/>
  <c r="AR48" i="47"/>
  <c r="AR49" i="47"/>
  <c r="AR50" i="47"/>
  <c r="AR51" i="47"/>
  <c r="AR52" i="47"/>
  <c r="AR53" i="47"/>
  <c r="AR41" i="47"/>
  <c r="AR28" i="47"/>
  <c r="AR29" i="47"/>
  <c r="AR30" i="47"/>
  <c r="AR31" i="47"/>
  <c r="AR32" i="47"/>
  <c r="AR33" i="47"/>
  <c r="AR34" i="47"/>
  <c r="AR35" i="47"/>
  <c r="AR36" i="47"/>
  <c r="AR37" i="47"/>
  <c r="AR38" i="47"/>
  <c r="AR39" i="47"/>
  <c r="AR27" i="47"/>
  <c r="AR14" i="47"/>
  <c r="AR15" i="47"/>
  <c r="AR16" i="47"/>
  <c r="AR17" i="47"/>
  <c r="AR18" i="47"/>
  <c r="AR19" i="47"/>
  <c r="AR20" i="47"/>
  <c r="AR21" i="47"/>
  <c r="AR22" i="47"/>
  <c r="AR23" i="47"/>
  <c r="AR24" i="47"/>
  <c r="AR25" i="47"/>
  <c r="AR13" i="47"/>
  <c r="AQ42" i="47"/>
  <c r="AQ43" i="47"/>
  <c r="AQ44" i="47"/>
  <c r="AQ45" i="47"/>
  <c r="AQ46" i="47"/>
  <c r="AQ47" i="47"/>
  <c r="AQ48" i="47"/>
  <c r="AQ49" i="47"/>
  <c r="AQ50" i="47"/>
  <c r="AQ51" i="47"/>
  <c r="AQ52" i="47"/>
  <c r="AQ53" i="47"/>
  <c r="AQ41" i="47"/>
  <c r="AQ28" i="47"/>
  <c r="AQ29" i="47"/>
  <c r="AQ30" i="47"/>
  <c r="AQ31" i="47"/>
  <c r="AQ32" i="47"/>
  <c r="AQ33" i="47"/>
  <c r="AQ34" i="47"/>
  <c r="AQ35" i="47"/>
  <c r="AQ36" i="47"/>
  <c r="AQ37" i="47"/>
  <c r="AQ38" i="47"/>
  <c r="AQ39" i="47"/>
  <c r="AQ27" i="47"/>
  <c r="AQ14" i="47"/>
  <c r="AQ15" i="47"/>
  <c r="AQ16" i="47"/>
  <c r="AQ17" i="47"/>
  <c r="AQ18" i="47"/>
  <c r="AQ19" i="47"/>
  <c r="AQ20" i="47"/>
  <c r="AQ21" i="47"/>
  <c r="AQ22" i="47"/>
  <c r="AQ23" i="47"/>
  <c r="AQ24" i="47"/>
  <c r="AQ25" i="47"/>
  <c r="AQ13" i="47"/>
  <c r="AO26" i="47"/>
  <c r="AO40" i="47"/>
  <c r="AO54" i="47"/>
  <c r="W3" i="47"/>
  <c r="F29" i="50" l="1"/>
  <c r="F22" i="43" s="1"/>
  <c r="AR54" i="47"/>
  <c r="AQ54" i="47"/>
  <c r="AR40" i="47"/>
  <c r="AR26" i="47"/>
  <c r="D29" i="18" s="1"/>
  <c r="AQ40" i="47"/>
  <c r="AQ26" i="47"/>
  <c r="D30" i="18" s="1"/>
  <c r="H30" i="18" s="1"/>
  <c r="AE6" i="47"/>
  <c r="AF6" i="47" s="1"/>
  <c r="AE7" i="47"/>
  <c r="AF7" i="47" s="1"/>
  <c r="AE5" i="47"/>
  <c r="AF5" i="47" s="1"/>
  <c r="AI28" i="47" l="1"/>
  <c r="AI29" i="47"/>
  <c r="AI30" i="47"/>
  <c r="AI31" i="47"/>
  <c r="AI32" i="47"/>
  <c r="AI33" i="47"/>
  <c r="AI34" i="47"/>
  <c r="AI35" i="47"/>
  <c r="AI36" i="47"/>
  <c r="AI37" i="47"/>
  <c r="AI38" i="47"/>
  <c r="AI39" i="47"/>
  <c r="AI41" i="47"/>
  <c r="AI42" i="47"/>
  <c r="AI43" i="47"/>
  <c r="AI44" i="47"/>
  <c r="AI45" i="47"/>
  <c r="AI46" i="47"/>
  <c r="AI47" i="47"/>
  <c r="AI48" i="47"/>
  <c r="AI49" i="47"/>
  <c r="AI50" i="47"/>
  <c r="AI51" i="47"/>
  <c r="AI52" i="47"/>
  <c r="AI53" i="47"/>
  <c r="AI27" i="47"/>
  <c r="AI14" i="47"/>
  <c r="AI15" i="47"/>
  <c r="AI16" i="47"/>
  <c r="AI17" i="47"/>
  <c r="AI18" i="47"/>
  <c r="AI19" i="47"/>
  <c r="AI20" i="47"/>
  <c r="AI21" i="47"/>
  <c r="AI22" i="47"/>
  <c r="AI23" i="47"/>
  <c r="AI24" i="47"/>
  <c r="AI25" i="47"/>
  <c r="Y42" i="47"/>
  <c r="Z42" i="47"/>
  <c r="Y43" i="47"/>
  <c r="Z43" i="47"/>
  <c r="Y44" i="47"/>
  <c r="Z44" i="47"/>
  <c r="Y45" i="47"/>
  <c r="Z45" i="47"/>
  <c r="Y46" i="47"/>
  <c r="Z46" i="47"/>
  <c r="Y47" i="47"/>
  <c r="Z47" i="47"/>
  <c r="Y48" i="47"/>
  <c r="Z48" i="47"/>
  <c r="Y49" i="47"/>
  <c r="Z49" i="47"/>
  <c r="Y50" i="47"/>
  <c r="Z50" i="47"/>
  <c r="Y51" i="47"/>
  <c r="Z51" i="47"/>
  <c r="Y52" i="47"/>
  <c r="Z52" i="47"/>
  <c r="Y53" i="47"/>
  <c r="Z53" i="47"/>
  <c r="Z41" i="47"/>
  <c r="Y41" i="47"/>
  <c r="Y28" i="47"/>
  <c r="Z28" i="47"/>
  <c r="Y29" i="47"/>
  <c r="Z29" i="47"/>
  <c r="Y30" i="47"/>
  <c r="Z30" i="47"/>
  <c r="Y31" i="47"/>
  <c r="Z31" i="47"/>
  <c r="Y32" i="47"/>
  <c r="Z32" i="47"/>
  <c r="Y33" i="47"/>
  <c r="Z33" i="47"/>
  <c r="Y34" i="47"/>
  <c r="Z34" i="47"/>
  <c r="Y35" i="47"/>
  <c r="Z35" i="47"/>
  <c r="Y36" i="47"/>
  <c r="Z36" i="47"/>
  <c r="Y37" i="47"/>
  <c r="Z37" i="47"/>
  <c r="Y38" i="47"/>
  <c r="Z38" i="47"/>
  <c r="Y39" i="47"/>
  <c r="Z39" i="47"/>
  <c r="Z27" i="47"/>
  <c r="Y27" i="47"/>
  <c r="Z13" i="47"/>
  <c r="Z14" i="47"/>
  <c r="Z15" i="47"/>
  <c r="Z16" i="47"/>
  <c r="Z17" i="47"/>
  <c r="Z18" i="47"/>
  <c r="Z19" i="47"/>
  <c r="Z20" i="47"/>
  <c r="Z21" i="47"/>
  <c r="Z22" i="47"/>
  <c r="Z23" i="47"/>
  <c r="Z24" i="47"/>
  <c r="Z25" i="47"/>
  <c r="Y25" i="47"/>
  <c r="C54" i="47"/>
  <c r="D54" i="47"/>
  <c r="E54" i="47"/>
  <c r="F54" i="47"/>
  <c r="H54" i="47"/>
  <c r="I54" i="47"/>
  <c r="J54" i="47"/>
  <c r="K54" i="47"/>
  <c r="L54" i="47"/>
  <c r="X54" i="47"/>
  <c r="M54" i="47"/>
  <c r="N54" i="47"/>
  <c r="O54" i="47"/>
  <c r="P54" i="47"/>
  <c r="R54" i="47"/>
  <c r="S54" i="47"/>
  <c r="T54" i="47"/>
  <c r="U54" i="47"/>
  <c r="V54" i="47"/>
  <c r="R40" i="47"/>
  <c r="S40" i="47"/>
  <c r="T40" i="47"/>
  <c r="U40" i="47"/>
  <c r="V40" i="47"/>
  <c r="L40" i="47"/>
  <c r="X40" i="47"/>
  <c r="M40" i="47"/>
  <c r="N40" i="47"/>
  <c r="O40" i="47"/>
  <c r="P40" i="47"/>
  <c r="C40" i="47"/>
  <c r="D40" i="47"/>
  <c r="E40" i="47"/>
  <c r="F40" i="47"/>
  <c r="H40" i="47"/>
  <c r="I40" i="47"/>
  <c r="J40" i="47"/>
  <c r="H26" i="47"/>
  <c r="I26" i="47"/>
  <c r="J26" i="47"/>
  <c r="K26" i="47"/>
  <c r="L26" i="47"/>
  <c r="C26" i="47"/>
  <c r="D26" i="47"/>
  <c r="E26" i="47"/>
  <c r="F26" i="47"/>
  <c r="N26" i="47"/>
  <c r="P26" i="47"/>
  <c r="R26" i="47"/>
  <c r="T26" i="47"/>
  <c r="U26" i="47"/>
  <c r="V26" i="47"/>
  <c r="W42" i="47"/>
  <c r="W43" i="47"/>
  <c r="W44" i="47"/>
  <c r="W45" i="47"/>
  <c r="W46" i="47"/>
  <c r="W47" i="47"/>
  <c r="W48" i="47"/>
  <c r="W49" i="47"/>
  <c r="W50" i="47"/>
  <c r="W51" i="47"/>
  <c r="W52" i="47"/>
  <c r="W53" i="47"/>
  <c r="W41" i="47"/>
  <c r="W28" i="47"/>
  <c r="W29" i="47"/>
  <c r="W30" i="47"/>
  <c r="W31" i="47"/>
  <c r="W32" i="47"/>
  <c r="W33" i="47"/>
  <c r="W34" i="47"/>
  <c r="W35" i="47"/>
  <c r="W36" i="47"/>
  <c r="W37" i="47"/>
  <c r="W38" i="47"/>
  <c r="W39" i="47"/>
  <c r="W27" i="47"/>
  <c r="W14" i="47"/>
  <c r="AA14" i="47" s="1"/>
  <c r="W15" i="47"/>
  <c r="AA15" i="47" s="1"/>
  <c r="W16" i="47"/>
  <c r="W17" i="47"/>
  <c r="W18" i="47"/>
  <c r="W19" i="47"/>
  <c r="W20" i="47"/>
  <c r="W21" i="47"/>
  <c r="AA21" i="47" s="1"/>
  <c r="W22" i="47"/>
  <c r="W23" i="47"/>
  <c r="W24" i="47"/>
  <c r="W25" i="47"/>
  <c r="W13" i="47"/>
  <c r="N8" i="46"/>
  <c r="O8" i="46"/>
  <c r="AE42" i="47"/>
  <c r="AE43" i="47"/>
  <c r="AE44" i="47"/>
  <c r="AE45" i="47"/>
  <c r="AE46" i="47"/>
  <c r="AE47" i="47"/>
  <c r="AE48" i="47"/>
  <c r="AE49" i="47"/>
  <c r="AE50" i="47"/>
  <c r="AE51" i="47"/>
  <c r="AE52" i="47"/>
  <c r="AE53" i="47"/>
  <c r="AE41" i="47"/>
  <c r="AE28" i="47"/>
  <c r="AE29" i="47"/>
  <c r="AE30" i="47"/>
  <c r="AE31" i="47"/>
  <c r="AE32" i="47"/>
  <c r="AE33" i="47"/>
  <c r="AE34" i="47"/>
  <c r="AE35" i="47"/>
  <c r="AE36" i="47"/>
  <c r="AE37" i="47"/>
  <c r="AE38" i="47"/>
  <c r="AE39" i="47"/>
  <c r="AE27" i="47"/>
  <c r="AL26" i="47"/>
  <c r="AA47" i="47" l="1"/>
  <c r="AC47" i="47" s="1"/>
  <c r="AA28" i="47"/>
  <c r="AA43" i="47"/>
  <c r="AA51" i="47"/>
  <c r="AA36" i="47"/>
  <c r="AA27" i="47"/>
  <c r="AA32" i="47"/>
  <c r="AC32" i="47" s="1"/>
  <c r="Z26" i="47"/>
  <c r="AA38" i="47"/>
  <c r="AA30" i="47"/>
  <c r="AA49" i="47"/>
  <c r="AI40" i="47"/>
  <c r="AI54" i="47"/>
  <c r="AA37" i="47"/>
  <c r="AA29" i="47"/>
  <c r="AA41" i="47"/>
  <c r="AA46" i="47"/>
  <c r="AC46" i="47" s="1"/>
  <c r="AA33" i="47"/>
  <c r="AC33" i="47" s="1"/>
  <c r="AA52" i="47"/>
  <c r="AA44" i="47"/>
  <c r="Z54" i="47"/>
  <c r="Z40" i="47"/>
  <c r="Y40" i="47"/>
  <c r="AA50" i="47"/>
  <c r="AA42" i="47"/>
  <c r="Y54" i="47"/>
  <c r="AA35" i="47"/>
  <c r="AC35" i="47" s="1"/>
  <c r="AA34" i="47"/>
  <c r="AC34" i="47" s="1"/>
  <c r="AA39" i="47"/>
  <c r="AC39" i="47" s="1"/>
  <c r="AA31" i="47"/>
  <c r="AC31" i="47" s="1"/>
  <c r="AC25" i="47"/>
  <c r="Y26" i="47"/>
  <c r="W26" i="47"/>
  <c r="N13" i="50" s="1"/>
  <c r="W54" i="47"/>
  <c r="W40" i="47"/>
  <c r="AA48" i="47"/>
  <c r="AC48" i="47" s="1"/>
  <c r="AA53" i="47"/>
  <c r="AC53" i="47" s="1"/>
  <c r="AA45" i="47"/>
  <c r="AC45" i="47" s="1"/>
  <c r="AC49" i="47"/>
  <c r="AA40" i="47" l="1"/>
  <c r="AA26" i="47"/>
  <c r="D26" i="18" s="1"/>
  <c r="H26" i="18" s="1"/>
  <c r="AA54" i="47"/>
  <c r="F45" i="37" l="1"/>
  <c r="F46" i="37"/>
  <c r="F47" i="37"/>
  <c r="F48" i="37"/>
  <c r="F44" i="37"/>
  <c r="F53" i="37" s="1"/>
  <c r="F68" i="37" s="1"/>
  <c r="C44" i="37"/>
  <c r="C53" i="37" s="1"/>
  <c r="C68" i="37" s="1"/>
  <c r="T8" i="47"/>
  <c r="T7" i="47"/>
  <c r="T6" i="47"/>
  <c r="T5" i="47"/>
  <c r="T4" i="47"/>
  <c r="AC21" i="47" s="1"/>
  <c r="T3" i="47"/>
  <c r="AC17" i="47" l="1"/>
  <c r="AC18" i="47"/>
  <c r="AC19" i="47"/>
  <c r="AC20" i="47"/>
  <c r="AC13" i="47"/>
  <c r="AC15" i="47"/>
  <c r="AC16" i="47"/>
  <c r="AC22" i="47"/>
  <c r="AC14" i="47"/>
  <c r="AC24" i="47"/>
  <c r="AC23" i="47"/>
  <c r="AC27" i="47"/>
  <c r="AC38" i="47"/>
  <c r="AC30" i="47"/>
  <c r="AC29" i="47"/>
  <c r="AC28" i="47"/>
  <c r="AC37" i="47"/>
  <c r="AC36" i="47"/>
  <c r="AC41" i="47"/>
  <c r="AC52" i="47"/>
  <c r="AC50" i="47"/>
  <c r="AC42" i="47"/>
  <c r="AC51" i="47"/>
  <c r="AC44" i="47"/>
  <c r="AC43" i="47"/>
  <c r="AN54" i="47" l="1"/>
  <c r="AM54" i="47"/>
  <c r="AL54" i="47"/>
  <c r="AJ54" i="47"/>
  <c r="AN40" i="47"/>
  <c r="AM40" i="47"/>
  <c r="AL40" i="47"/>
  <c r="AJ40" i="47"/>
  <c r="AN26" i="47"/>
  <c r="AM26" i="47"/>
  <c r="AJ26" i="47"/>
  <c r="AX54" i="47"/>
  <c r="AW54" i="47"/>
  <c r="AV54" i="47"/>
  <c r="AS54" i="47"/>
  <c r="AP54" i="47"/>
  <c r="AU53" i="47"/>
  <c r="AT53" i="47"/>
  <c r="AU52" i="47"/>
  <c r="AT52" i="47"/>
  <c r="AU51" i="47"/>
  <c r="AT51" i="47"/>
  <c r="AU50" i="47"/>
  <c r="AT50" i="47"/>
  <c r="AU49" i="47"/>
  <c r="AT49" i="47"/>
  <c r="AU48" i="47"/>
  <c r="AT48" i="47"/>
  <c r="AU47" i="47"/>
  <c r="AT47" i="47"/>
  <c r="AU46" i="47"/>
  <c r="AT46" i="47"/>
  <c r="AU45" i="47"/>
  <c r="AT45" i="47"/>
  <c r="AU44" i="47"/>
  <c r="AT44" i="47"/>
  <c r="AU43" i="47"/>
  <c r="AT43" i="47"/>
  <c r="AU42" i="47"/>
  <c r="AT42" i="47"/>
  <c r="AU41" i="47"/>
  <c r="AT41" i="47"/>
  <c r="AX40" i="47"/>
  <c r="AW40" i="47"/>
  <c r="AV40" i="47"/>
  <c r="AS40" i="47"/>
  <c r="AP40" i="47"/>
  <c r="AU39" i="47"/>
  <c r="AT39" i="47"/>
  <c r="AU38" i="47"/>
  <c r="AT38" i="47"/>
  <c r="AU37" i="47"/>
  <c r="AT37" i="47"/>
  <c r="AU36" i="47"/>
  <c r="AT36" i="47"/>
  <c r="AU35" i="47"/>
  <c r="AT35" i="47"/>
  <c r="AU34" i="47"/>
  <c r="AT34" i="47"/>
  <c r="AU33" i="47"/>
  <c r="AT33" i="47"/>
  <c r="AU32" i="47"/>
  <c r="AT32" i="47"/>
  <c r="AU31" i="47"/>
  <c r="AT31" i="47"/>
  <c r="AU30" i="47"/>
  <c r="AT30" i="47"/>
  <c r="AU29" i="47"/>
  <c r="AT29" i="47"/>
  <c r="AU28" i="47"/>
  <c r="AT28" i="47"/>
  <c r="AU27" i="47"/>
  <c r="AT27" i="47"/>
  <c r="AX26" i="47"/>
  <c r="AW26" i="47"/>
  <c r="AV26" i="47"/>
  <c r="AS26" i="47"/>
  <c r="AP26" i="47"/>
  <c r="AU25" i="47"/>
  <c r="AT25" i="47"/>
  <c r="AU24" i="47"/>
  <c r="AT24" i="47"/>
  <c r="AU23" i="47"/>
  <c r="AT23" i="47"/>
  <c r="AU22" i="47"/>
  <c r="AT22" i="47"/>
  <c r="AU21" i="47"/>
  <c r="AT21" i="47"/>
  <c r="AU20" i="47"/>
  <c r="AT20" i="47"/>
  <c r="AU19" i="47"/>
  <c r="AT19" i="47"/>
  <c r="AU18" i="47"/>
  <c r="AT18" i="47"/>
  <c r="AU17" i="47"/>
  <c r="AT17" i="47"/>
  <c r="AU16" i="47"/>
  <c r="AT16" i="47"/>
  <c r="AU15" i="47"/>
  <c r="AT15" i="47"/>
  <c r="AU14" i="47"/>
  <c r="AT14" i="47"/>
  <c r="AU13" i="47"/>
  <c r="AT13" i="47"/>
  <c r="AU26" i="47" l="1"/>
  <c r="AT26" i="47"/>
  <c r="AT54" i="47"/>
  <c r="AT40" i="47"/>
  <c r="AU40" i="47"/>
  <c r="AU54" i="47"/>
  <c r="AH26" i="47"/>
  <c r="AH40" i="47"/>
  <c r="AH54" i="47"/>
  <c r="E23" i="46" l="1"/>
  <c r="G27" i="50" s="1"/>
  <c r="E30" i="18"/>
  <c r="I30" i="18" s="1"/>
  <c r="E22" i="46"/>
  <c r="G26" i="50" s="1"/>
  <c r="E29" i="18"/>
  <c r="I29" i="18" s="1"/>
  <c r="AG54" i="47"/>
  <c r="AF54" i="47"/>
  <c r="AD54" i="47"/>
  <c r="B54" i="47"/>
  <c r="AG40" i="47"/>
  <c r="AF40" i="47"/>
  <c r="AD40" i="47"/>
  <c r="K40" i="47"/>
  <c r="B40" i="47"/>
  <c r="AG26" i="47"/>
  <c r="AF26" i="47"/>
  <c r="AD26" i="47"/>
  <c r="M26" i="47"/>
  <c r="B26" i="47"/>
  <c r="K8" i="46"/>
  <c r="L8" i="46"/>
  <c r="M8" i="46"/>
  <c r="C31" i="46"/>
  <c r="D31" i="46"/>
  <c r="G13" i="50" l="1"/>
  <c r="E15" i="46"/>
  <c r="D28" i="18"/>
  <c r="AB24" i="47"/>
  <c r="AE24" i="47" s="1"/>
  <c r="AB27" i="47"/>
  <c r="AB16" i="47"/>
  <c r="AE16" i="47" s="1"/>
  <c r="AB47" i="47"/>
  <c r="AB39" i="47"/>
  <c r="AB41" i="47"/>
  <c r="AB32" i="47"/>
  <c r="AB46" i="47"/>
  <c r="AE40" i="47"/>
  <c r="E43" i="18" s="1"/>
  <c r="I43" i="18" s="1"/>
  <c r="AE54" i="47"/>
  <c r="E60" i="18" s="1"/>
  <c r="I60" i="18" s="1"/>
  <c r="F28" i="18" l="1"/>
  <c r="H28" i="18"/>
  <c r="AB13" i="47"/>
  <c r="AE13" i="47" s="1"/>
  <c r="AB49" i="47"/>
  <c r="AB36" i="47"/>
  <c r="AB18" i="47"/>
  <c r="AE18" i="47" s="1"/>
  <c r="AB14" i="47"/>
  <c r="AE14" i="47" s="1"/>
  <c r="AB48" i="47"/>
  <c r="AB28" i="47"/>
  <c r="AB42" i="47"/>
  <c r="AB52" i="47"/>
  <c r="AB45" i="47"/>
  <c r="AB51" i="47"/>
  <c r="AB33" i="47"/>
  <c r="AB29" i="47"/>
  <c r="AB53" i="47"/>
  <c r="AB38" i="47"/>
  <c r="AB50" i="47"/>
  <c r="AB15" i="47"/>
  <c r="AE15" i="47" s="1"/>
  <c r="AB43" i="47"/>
  <c r="AB25" i="47"/>
  <c r="AE25" i="47" s="1"/>
  <c r="AB44" i="47"/>
  <c r="AB37" i="47"/>
  <c r="AB34" i="47"/>
  <c r="AB35" i="47"/>
  <c r="AB17" i="47"/>
  <c r="AE17" i="47" s="1"/>
  <c r="AB21" i="47"/>
  <c r="AE21" i="47" s="1"/>
  <c r="AB30" i="47"/>
  <c r="AB31" i="47"/>
  <c r="AB20" i="47"/>
  <c r="AE20" i="47" s="1"/>
  <c r="AB19" i="47"/>
  <c r="AE19" i="47" s="1"/>
  <c r="AB22" i="47"/>
  <c r="AE22" i="47" s="1"/>
  <c r="AB23" i="47"/>
  <c r="AE23" i="47" s="1"/>
  <c r="F39" i="18" l="1"/>
  <c r="J39" i="18" s="1"/>
  <c r="J28" i="18"/>
  <c r="AC26" i="47"/>
  <c r="AC40" i="47"/>
  <c r="AC54" i="47"/>
  <c r="AB40" i="47"/>
  <c r="AB54" i="47"/>
  <c r="AB26" i="47"/>
  <c r="AE26" i="47" l="1"/>
  <c r="E26" i="18" l="1"/>
  <c r="I26" i="18" s="1"/>
  <c r="E12" i="46"/>
  <c r="E13" i="46"/>
  <c r="E11" i="46"/>
  <c r="G5" i="50" s="1"/>
  <c r="E10" i="46"/>
  <c r="H25" i="37"/>
  <c r="E25" i="37"/>
  <c r="H24" i="37"/>
  <c r="E24" i="37"/>
  <c r="H23" i="37"/>
  <c r="E23" i="37"/>
  <c r="H22" i="37"/>
  <c r="E22" i="37"/>
  <c r="H21" i="37"/>
  <c r="E21" i="37"/>
  <c r="H20" i="37"/>
  <c r="E20" i="37"/>
  <c r="H19" i="37"/>
  <c r="E19" i="37"/>
  <c r="H18" i="37"/>
  <c r="G18" i="37"/>
  <c r="F18" i="37"/>
  <c r="G17" i="37"/>
  <c r="F30" i="37" s="1"/>
  <c r="D17" i="37"/>
  <c r="H16" i="37"/>
  <c r="E16" i="37"/>
  <c r="H14" i="37"/>
  <c r="E14" i="37"/>
  <c r="H13" i="37"/>
  <c r="E13" i="37"/>
  <c r="H12" i="37"/>
  <c r="E12" i="37"/>
  <c r="H11" i="37"/>
  <c r="E11" i="37"/>
  <c r="H10" i="37"/>
  <c r="E10" i="37"/>
  <c r="H9" i="37"/>
  <c r="E9" i="37"/>
  <c r="H8" i="37"/>
  <c r="E8" i="37"/>
  <c r="H6" i="37"/>
  <c r="E6" i="37"/>
  <c r="H5" i="37"/>
  <c r="G7" i="50" l="1"/>
  <c r="G23" i="50"/>
  <c r="G6" i="50"/>
  <c r="C7" i="49"/>
  <c r="C13" i="49" s="1"/>
  <c r="C16" i="49" s="1"/>
  <c r="E7" i="49"/>
  <c r="E13" i="49" s="1"/>
  <c r="E16" i="49" s="1"/>
  <c r="H27" i="37"/>
  <c r="E27" i="37"/>
  <c r="E17" i="37"/>
  <c r="H17" i="37"/>
  <c r="G15" i="50" l="1"/>
  <c r="G20" i="50" s="1"/>
  <c r="C29" i="37"/>
  <c r="E14" i="43" s="1"/>
  <c r="F29" i="37"/>
  <c r="F14" i="43" s="1"/>
  <c r="D10" i="43"/>
  <c r="C10" i="43"/>
  <c r="G21" i="43" l="1"/>
  <c r="C5" i="49"/>
  <c r="C17" i="49" s="1"/>
  <c r="E5" i="49"/>
  <c r="E17" i="49" s="1"/>
  <c r="K68" i="33"/>
  <c r="K67" i="33"/>
  <c r="D43" i="33"/>
  <c r="E15" i="50" l="1"/>
  <c r="D15" i="50"/>
  <c r="E18" i="49"/>
  <c r="F23" i="43" s="1"/>
  <c r="G28" i="18"/>
  <c r="G38" i="18"/>
  <c r="G27" i="18"/>
  <c r="G37" i="18"/>
  <c r="G26" i="18"/>
  <c r="G36" i="18"/>
  <c r="G35" i="18"/>
  <c r="G39" i="18"/>
  <c r="G29" i="18"/>
  <c r="G31" i="18"/>
  <c r="G30" i="18"/>
  <c r="C30" i="37"/>
  <c r="E13" i="43"/>
  <c r="D24" i="33"/>
  <c r="D25" i="33" s="1"/>
  <c r="C4" i="46" s="1"/>
  <c r="C5" i="46"/>
  <c r="C6" i="49"/>
  <c r="E58" i="33"/>
  <c r="D58" i="33"/>
  <c r="E57" i="33"/>
  <c r="D57" i="33"/>
  <c r="D44" i="33"/>
  <c r="D45" i="33"/>
  <c r="D53" i="33" s="1"/>
  <c r="E62" i="18"/>
  <c r="F67" i="13"/>
  <c r="F68" i="13"/>
  <c r="F69" i="13"/>
  <c r="F70" i="13"/>
  <c r="F71" i="13"/>
  <c r="F72" i="13"/>
  <c r="F73" i="13"/>
  <c r="F74" i="13"/>
  <c r="F66" i="13"/>
  <c r="F39" i="13"/>
  <c r="F40" i="13"/>
  <c r="F41" i="13"/>
  <c r="F42" i="13"/>
  <c r="F43" i="13"/>
  <c r="F44" i="13"/>
  <c r="F45" i="13"/>
  <c r="F46" i="13"/>
  <c r="F38" i="13"/>
  <c r="B76" i="13"/>
  <c r="B62" i="13"/>
  <c r="B48" i="13"/>
  <c r="B34" i="13"/>
  <c r="C82" i="13"/>
  <c r="C83" i="13"/>
  <c r="C84" i="13"/>
  <c r="C85" i="13"/>
  <c r="C86" i="13"/>
  <c r="C87" i="13"/>
  <c r="C81" i="13"/>
  <c r="C54" i="13"/>
  <c r="C55" i="13"/>
  <c r="C56" i="13"/>
  <c r="C57" i="13"/>
  <c r="C58" i="13"/>
  <c r="C59" i="13"/>
  <c r="C53" i="13"/>
  <c r="F78" i="13"/>
  <c r="D78" i="13"/>
  <c r="B78" i="13"/>
  <c r="H64" i="13"/>
  <c r="F64" i="13"/>
  <c r="E64" i="13"/>
  <c r="D64" i="13"/>
  <c r="C64" i="13"/>
  <c r="B64" i="13"/>
  <c r="F50" i="13"/>
  <c r="D50" i="13"/>
  <c r="B50" i="13"/>
  <c r="J50" i="13"/>
  <c r="I36" i="13"/>
  <c r="H36" i="13"/>
  <c r="F36" i="13"/>
  <c r="E36" i="13"/>
  <c r="D36" i="13"/>
  <c r="C36" i="13"/>
  <c r="B36" i="13"/>
  <c r="I22" i="13"/>
  <c r="H22" i="13"/>
  <c r="B61" i="18"/>
  <c r="B62" i="18"/>
  <c r="B63" i="18"/>
  <c r="B64" i="18"/>
  <c r="B65" i="18"/>
  <c r="B66" i="18"/>
  <c r="B67" i="18"/>
  <c r="B68" i="18"/>
  <c r="B69" i="18"/>
  <c r="B70" i="18"/>
  <c r="B71" i="18"/>
  <c r="B72" i="18"/>
  <c r="B73" i="18"/>
  <c r="B60" i="18"/>
  <c r="B56" i="18"/>
  <c r="B44" i="18"/>
  <c r="B45" i="18"/>
  <c r="B46" i="18"/>
  <c r="B47" i="18"/>
  <c r="B48" i="18"/>
  <c r="B49" i="18"/>
  <c r="B50" i="18"/>
  <c r="B51" i="18"/>
  <c r="B52" i="18"/>
  <c r="B53" i="18"/>
  <c r="B54" i="18"/>
  <c r="B55" i="18"/>
  <c r="B43" i="18"/>
  <c r="D53" i="13"/>
  <c r="D58" i="18"/>
  <c r="E58" i="18"/>
  <c r="C58" i="18"/>
  <c r="D41" i="18"/>
  <c r="E41" i="18"/>
  <c r="C41" i="18"/>
  <c r="F17" i="13"/>
  <c r="F11" i="13"/>
  <c r="F12" i="13"/>
  <c r="F13" i="13"/>
  <c r="F14" i="13"/>
  <c r="F15" i="13"/>
  <c r="F16" i="13"/>
  <c r="F18" i="13"/>
  <c r="F10" i="13"/>
  <c r="D6" i="18"/>
  <c r="H50" i="13"/>
  <c r="I50" i="13"/>
  <c r="H78" i="13"/>
  <c r="I78" i="13"/>
  <c r="D4" i="18"/>
  <c r="D8" i="18"/>
  <c r="G24" i="18"/>
  <c r="G41" i="18" s="1"/>
  <c r="H24" i="18"/>
  <c r="H58" i="18" s="1"/>
  <c r="I24" i="18"/>
  <c r="I58" i="18" s="1"/>
  <c r="D10" i="18"/>
  <c r="D20" i="50" l="1"/>
  <c r="D22" i="43" s="1"/>
  <c r="D21" i="43"/>
  <c r="E20" i="50"/>
  <c r="E22" i="43" s="1"/>
  <c r="E21" i="43"/>
  <c r="N28" i="46"/>
  <c r="N26" i="46"/>
  <c r="K27" i="46"/>
  <c r="K26" i="46"/>
  <c r="L28" i="46"/>
  <c r="O24" i="46"/>
  <c r="N27" i="46"/>
  <c r="N25" i="46"/>
  <c r="N24" i="46"/>
  <c r="L27" i="46"/>
  <c r="L24" i="46"/>
  <c r="O26" i="46"/>
  <c r="K24" i="46"/>
  <c r="K25" i="46"/>
  <c r="O25" i="46"/>
  <c r="M27" i="46"/>
  <c r="M25" i="46"/>
  <c r="M24" i="46"/>
  <c r="L25" i="46"/>
  <c r="O28" i="46"/>
  <c r="K28" i="46"/>
  <c r="L26" i="46"/>
  <c r="O27" i="46"/>
  <c r="O21" i="46"/>
  <c r="N21" i="46"/>
  <c r="K20" i="46"/>
  <c r="N18" i="46"/>
  <c r="L19" i="46"/>
  <c r="N13" i="46"/>
  <c r="O10" i="46"/>
  <c r="M18" i="46"/>
  <c r="K19" i="46"/>
  <c r="M13" i="46"/>
  <c r="N10" i="46"/>
  <c r="O12" i="46"/>
  <c r="O13" i="46"/>
  <c r="K12" i="46"/>
  <c r="L21" i="46"/>
  <c r="L18" i="46"/>
  <c r="L13" i="46"/>
  <c r="O14" i="46"/>
  <c r="K13" i="46"/>
  <c r="M10" i="46"/>
  <c r="K21" i="46"/>
  <c r="O17" i="46"/>
  <c r="K18" i="46"/>
  <c r="O11" i="46"/>
  <c r="N14" i="46"/>
  <c r="L10" i="46"/>
  <c r="O20" i="46"/>
  <c r="N17" i="46"/>
  <c r="K17" i="46"/>
  <c r="N11" i="46"/>
  <c r="N12" i="46"/>
  <c r="K10" i="46"/>
  <c r="L17" i="46"/>
  <c r="L11" i="46"/>
  <c r="K14" i="46"/>
  <c r="O18" i="46"/>
  <c r="K11" i="46"/>
  <c r="M17" i="46"/>
  <c r="O19" i="46"/>
  <c r="M11" i="46"/>
  <c r="L14" i="46"/>
  <c r="N19" i="46"/>
  <c r="L12" i="46"/>
  <c r="M19" i="46"/>
  <c r="C18" i="49"/>
  <c r="D23" i="43" s="1"/>
  <c r="E24" i="33"/>
  <c r="E25" i="33" s="1"/>
  <c r="D4" i="46" s="1"/>
  <c r="L20" i="46" s="1"/>
  <c r="F13" i="43"/>
  <c r="J69" i="33"/>
  <c r="C13" i="43" s="1"/>
  <c r="D13" i="43" s="1"/>
  <c r="J70" i="33"/>
  <c r="I69" i="33"/>
  <c r="I70" i="33"/>
  <c r="K56" i="33"/>
  <c r="K58" i="33" s="1"/>
  <c r="D63" i="33"/>
  <c r="C14" i="43" s="1"/>
  <c r="D81" i="13"/>
  <c r="F53" i="13"/>
  <c r="E59" i="33"/>
  <c r="D11" i="43" s="1"/>
  <c r="I41" i="18"/>
  <c r="H41" i="18"/>
  <c r="G58" i="18"/>
  <c r="D59" i="33"/>
  <c r="C11" i="43" s="1"/>
  <c r="D52" i="33"/>
  <c r="E28" i="18"/>
  <c r="I28" i="18" s="1"/>
  <c r="E45" i="18"/>
  <c r="C39" i="18"/>
  <c r="D56" i="18"/>
  <c r="D73" i="18"/>
  <c r="M20" i="46" l="1"/>
  <c r="N20" i="46"/>
  <c r="N16" i="46" s="1"/>
  <c r="K9" i="46"/>
  <c r="E11" i="43" s="1"/>
  <c r="E12" i="43" s="1"/>
  <c r="N23" i="46"/>
  <c r="L9" i="46"/>
  <c r="F11" i="43" s="1"/>
  <c r="F12" i="43" s="1"/>
  <c r="O9" i="46"/>
  <c r="O23" i="46"/>
  <c r="K16" i="46"/>
  <c r="K23" i="46"/>
  <c r="O16" i="46"/>
  <c r="L16" i="46"/>
  <c r="N9" i="46"/>
  <c r="L23" i="46"/>
  <c r="K69" i="33"/>
  <c r="K70" i="33"/>
  <c r="F81" i="13"/>
  <c r="C56" i="18"/>
  <c r="C73" i="18" l="1"/>
  <c r="AK26" i="47"/>
  <c r="G25" i="50" s="1"/>
  <c r="G29" i="50" s="1"/>
  <c r="AI13" i="47"/>
  <c r="AI26" i="47" s="1"/>
  <c r="S26" i="47"/>
  <c r="AI5" i="47" l="1"/>
  <c r="AG6" i="47"/>
  <c r="AH6" i="47" s="1"/>
  <c r="E44" i="18" s="1"/>
  <c r="AG7" i="47"/>
  <c r="AH7" i="47" s="1"/>
  <c r="E61" i="18" s="1"/>
  <c r="I61" i="18" s="1"/>
  <c r="AG5" i="47"/>
  <c r="AH5" i="47" s="1"/>
  <c r="E20" i="46" s="1"/>
  <c r="D31" i="18"/>
  <c r="E27" i="46"/>
  <c r="D27" i="18"/>
  <c r="H27" i="18" s="1"/>
  <c r="M28" i="46" l="1"/>
  <c r="M14" i="46"/>
  <c r="M21" i="46"/>
  <c r="M16" i="46" s="1"/>
  <c r="E31" i="18"/>
  <c r="I31" i="18" s="1"/>
  <c r="H31" i="18"/>
  <c r="E56" i="18"/>
  <c r="I56" i="18" s="1"/>
  <c r="D32" i="43" s="1"/>
  <c r="I44" i="18"/>
  <c r="E18" i="46"/>
  <c r="E27" i="18"/>
  <c r="I27" i="18" s="1"/>
  <c r="E19" i="46"/>
  <c r="D39" i="18"/>
  <c r="H39" i="18" s="1"/>
  <c r="G22" i="43" l="1"/>
  <c r="M26" i="46"/>
  <c r="M23" i="46" s="1"/>
  <c r="M12" i="46"/>
  <c r="M9" i="46" s="1"/>
  <c r="E73" i="18"/>
  <c r="I73" i="18" s="1"/>
  <c r="E32" i="43" s="1"/>
  <c r="E31" i="46"/>
  <c r="G31" i="46"/>
  <c r="E39" i="18"/>
  <c r="I39" i="18" s="1"/>
  <c r="F31" i="46"/>
  <c r="D33" i="43" l="1"/>
  <c r="D34" i="43" s="1"/>
  <c r="D36" i="43" s="1"/>
  <c r="C32" i="43"/>
  <c r="G15" i="43"/>
  <c r="E33" i="43"/>
  <c r="E34" i="43" s="1"/>
  <c r="E36" i="43" s="1"/>
  <c r="C33" i="43"/>
  <c r="C34" i="43" s="1"/>
  <c r="C36" i="43" s="1"/>
  <c r="G11" i="43"/>
  <c r="G1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8" authorId="0" shapeId="0" xr:uid="{C81423AC-22F2-4824-AE86-57D5BBE4F0BF}">
      <text>
        <r>
          <rPr>
            <sz val="9"/>
            <color indexed="81"/>
            <rFont val="Tahoma"/>
            <family val="2"/>
          </rPr>
          <t>Väljs i flik A, ruta D51.</t>
        </r>
      </text>
    </comment>
    <comment ref="D10" authorId="0" shapeId="0" xr:uid="{AE0F39B8-9F49-456C-9F36-1CA626EA9BF8}">
      <text>
        <r>
          <rPr>
            <sz val="9"/>
            <color indexed="81"/>
            <rFont val="Tahoma"/>
            <family val="2"/>
          </rPr>
          <t xml:space="preserve">Alternativt inför interimistiskt slutbesked (relationshandling).
</t>
        </r>
      </text>
    </comment>
    <comment ref="F10" authorId="0" shapeId="0" xr:uid="{A4A4A162-83B0-4674-8C5F-C674991BD662}">
      <text>
        <r>
          <rPr>
            <sz val="9"/>
            <color indexed="81"/>
            <rFont val="Tahoma"/>
            <family val="2"/>
          </rPr>
          <t xml:space="preserve">Alternativt inför interimistiskt slutbesked (relationshandling).
</t>
        </r>
      </text>
    </comment>
    <comment ref="G10" authorId="0" shapeId="0" xr:uid="{D5C0CFD6-E2FA-4C45-ABB2-E794513C4D58}">
      <text>
        <r>
          <rPr>
            <sz val="9"/>
            <color indexed="81"/>
            <rFont val="Tahoma"/>
            <family val="2"/>
          </rPr>
          <t>Från mätresultat.</t>
        </r>
      </text>
    </comment>
    <comment ref="C11" authorId="0" shapeId="0" xr:uid="{C4241A22-195B-4FFC-9738-54E381E0E3C1}">
      <text>
        <r>
          <rPr>
            <sz val="9"/>
            <color indexed="81"/>
            <rFont val="Tahoma"/>
            <family val="2"/>
          </rPr>
          <t xml:space="preserve">Inklusive tillägg. Räknas ut i flik A.
</t>
        </r>
      </text>
    </comment>
    <comment ref="D11" authorId="0" shapeId="0" xr:uid="{61CD2BE7-4736-46F9-BB8F-D9717B6CE6BB}">
      <text>
        <r>
          <rPr>
            <sz val="9"/>
            <color indexed="81"/>
            <rFont val="Tahoma"/>
            <family val="2"/>
          </rPr>
          <t>Inklusive tillägg.
Räknas ut i flik A.</t>
        </r>
      </text>
    </comment>
    <comment ref="E11" authorId="0" shapeId="0" xr:uid="{4CB10AD5-A142-4578-A500-4DDEF8A450A5}">
      <text>
        <r>
          <rPr>
            <sz val="9"/>
            <color indexed="81"/>
            <rFont val="Tahoma"/>
            <family val="2"/>
          </rPr>
          <t xml:space="preserve">PET beräknat från fliken Resultat beräkning.
</t>
        </r>
      </text>
    </comment>
    <comment ref="F11" authorId="0" shapeId="0" xr:uid="{D3A71187-EEE9-4F7B-9EAC-30F9D5B5328C}">
      <text>
        <r>
          <rPr>
            <sz val="9"/>
            <color indexed="81"/>
            <rFont val="Tahoma"/>
            <family val="2"/>
          </rPr>
          <t xml:space="preserve">PET beräknat från fliken Resultat beräkning.
</t>
        </r>
      </text>
    </comment>
    <comment ref="G11" authorId="0" shapeId="0" xr:uid="{49323E6A-BB6B-425B-98A0-C95275D8130E}">
      <text>
        <r>
          <rPr>
            <sz val="9"/>
            <color indexed="81"/>
            <rFont val="Tahoma"/>
            <family val="2"/>
          </rPr>
          <t>Beräknat från uppdelat mätresultat per energibärare.</t>
        </r>
      </text>
    </comment>
    <comment ref="C13" authorId="0" shapeId="0" xr:uid="{7C642F17-E1CC-4E94-9C22-E8A258CB5886}">
      <text>
        <r>
          <rPr>
            <sz val="9"/>
            <color indexed="81"/>
            <rFont val="Tahoma"/>
            <family val="2"/>
          </rPr>
          <t>Beräknat för flerbostadshus och BBR 29 (samma krav gäller för lokaler). Småhusen är nästan lika, med skillnaden att de inte har effekttillägg för ökad ventilation.</t>
        </r>
      </text>
    </comment>
    <comment ref="C14" authorId="0" shapeId="0" xr:uid="{C3FEACB1-F49A-4BB0-B44D-901B76A93D77}">
      <text>
        <r>
          <rPr>
            <sz val="9"/>
            <color indexed="81"/>
            <rFont val="Tahoma"/>
            <family val="2"/>
          </rPr>
          <t>Funkar inte för småhus.</t>
        </r>
      </text>
    </comment>
    <comment ref="D14" authorId="0" shapeId="0" xr:uid="{EAF936C2-DED7-4748-B23C-381E4195476A}">
      <text>
        <r>
          <rPr>
            <sz val="9"/>
            <color indexed="81"/>
            <rFont val="Tahoma"/>
            <family val="2"/>
          </rPr>
          <t>Funkar inte för småhus.</t>
        </r>
      </text>
    </comment>
    <comment ref="G15" authorId="0" shapeId="0" xr:uid="{A2B65C7E-522D-4BB4-89EA-EE589857DDF0}">
      <text>
        <r>
          <rPr>
            <sz val="9"/>
            <color indexed="81"/>
            <rFont val="Tahoma"/>
            <family val="2"/>
          </rPr>
          <t>Från fliken resultat mätning.</t>
        </r>
      </text>
    </comment>
    <comment ref="D17" authorId="0" shapeId="0" xr:uid="{845338A9-8D31-4317-BAE8-C7CF4D3C465C}">
      <text>
        <r>
          <rPr>
            <sz val="9"/>
            <color indexed="81"/>
            <rFont val="Tahoma"/>
            <family val="2"/>
          </rPr>
          <t>Utgår från Upphandlingsmyndighetens krav (UHM-krav) på lägre energianvändning för byggnaden. Kraven är frivilliga att använda för byggherre/beställare men då kraven används ska entreprenör/uppdragstagare ansvara för att de uppnås. Kravet på Värmeförlusttal (VFT) ska inte användas samtidigt med Nettoenergi (UHM 1A) och energianvändning (UHM 1B). De två sistnämnda ska användas tillsammans. För defintioner, se flik UHM.</t>
        </r>
      </text>
    </comment>
    <comment ref="C18" authorId="0" shapeId="0" xr:uid="{918EA75E-3604-41B8-8080-5D6176120073}">
      <text>
        <r>
          <rPr>
            <sz val="11"/>
            <color indexed="81"/>
            <rFont val="Franklin Gothic Book"/>
            <family val="2"/>
          </rPr>
          <t>Fyll i gällande UHM-krav.</t>
        </r>
        <r>
          <rPr>
            <sz val="9"/>
            <color indexed="81"/>
            <rFont val="Tahoma"/>
            <family val="2"/>
          </rPr>
          <t xml:space="preserve">
</t>
        </r>
      </text>
    </comment>
    <comment ref="D19" authorId="0" shapeId="0" xr:uid="{47221D49-EC34-4300-A782-A717FF9521EB}">
      <text>
        <r>
          <rPr>
            <sz val="9"/>
            <color indexed="81"/>
            <rFont val="Tahoma"/>
            <family val="2"/>
          </rPr>
          <t xml:space="preserve">Inför färdigställande av programhandling eller systemhandling men före det att upphandling av systemlösningar som påverkar värme- och energianvänding sker (klimatskärm, installationer m.m.).
</t>
        </r>
      </text>
    </comment>
    <comment ref="E19" authorId="0" shapeId="0" xr:uid="{918A0D50-FFEE-496D-B2D2-C3107069C317}">
      <text>
        <r>
          <rPr>
            <sz val="9"/>
            <color indexed="81"/>
            <rFont val="Tahoma"/>
            <family val="2"/>
          </rPr>
          <t>Inför färdigställande av bygghandling.</t>
        </r>
      </text>
    </comment>
    <comment ref="F19" authorId="0" shapeId="0" xr:uid="{8F2B6D66-12C0-4307-AE2C-E4EAA4798DFF}">
      <text>
        <r>
          <rPr>
            <sz val="9"/>
            <color indexed="81"/>
            <rFont val="Tahoma"/>
            <family val="2"/>
          </rPr>
          <t>Alternativt inför interimistiskt slutbesked (relationshandling).</t>
        </r>
        <r>
          <rPr>
            <b/>
            <sz val="9"/>
            <color indexed="81"/>
            <rFont val="Tahoma"/>
            <family val="2"/>
          </rPr>
          <t xml:space="preserve">
</t>
        </r>
      </text>
    </comment>
    <comment ref="B21" authorId="0" shapeId="0" xr:uid="{C669EDF1-C1FA-463E-9243-D07B6AE43A85}">
      <text>
        <r>
          <rPr>
            <sz val="9"/>
            <color indexed="81"/>
            <rFont val="Tahoma"/>
            <family val="2"/>
          </rPr>
          <t>Enligt UHM:s definition.</t>
        </r>
      </text>
    </comment>
    <comment ref="B22" authorId="0" shapeId="0" xr:uid="{F8D2180D-C466-4A0E-9525-CA534E4970CD}">
      <text>
        <r>
          <rPr>
            <sz val="9"/>
            <color indexed="81"/>
            <rFont val="Tahoma"/>
            <family val="2"/>
          </rPr>
          <t>Enligt UHM:s definition.</t>
        </r>
      </text>
    </comment>
    <comment ref="B23" authorId="0" shapeId="0" xr:uid="{420E4625-6756-4752-BF20-BDF09A9E36C9}">
      <text>
        <r>
          <rPr>
            <sz val="9"/>
            <color indexed="81"/>
            <rFont val="Tahoma"/>
            <family val="2"/>
          </rPr>
          <t>Alternativt krav till de bägge ovanstående. 
Värmeförlusttal enligt UHMs (FEBYs) definition.
Beräkning under flik VFT.</t>
        </r>
      </text>
    </comment>
    <comment ref="B28" authorId="0" shapeId="0" xr:uid="{6867F514-402D-4E4F-8981-F8CE32359226}">
      <text>
        <r>
          <rPr>
            <sz val="9"/>
            <color indexed="81"/>
            <rFont val="Tahoma"/>
            <family val="2"/>
          </rPr>
          <t>Fyll i avtalad energiprestanda (primärenergital).</t>
        </r>
      </text>
    </comment>
    <comment ref="B30" authorId="0" shapeId="0" xr:uid="{5E7FAB5B-62A5-47D7-923B-515810DC4692}">
      <text>
        <r>
          <rPr>
            <sz val="9"/>
            <color indexed="81"/>
            <rFont val="Tahoma"/>
            <family val="2"/>
          </rPr>
          <t>Fyll i avtalat energivite (Om inget vite skriv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peralevi</author>
    <author>Per</author>
    <author>perle</author>
  </authors>
  <commentList>
    <comment ref="B5" authorId="0" shapeId="0" xr:uid="{0032BB61-3ED2-4278-A794-92A06B9EF39E}">
      <text>
        <r>
          <rPr>
            <sz val="9"/>
            <color indexed="81"/>
            <rFont val="Tahoma"/>
            <family val="2"/>
          </rPr>
          <t>Underlag för BBR, energideklaration och övriga flikar. 
Kommun, byggnadskategori och verksamheter och areor  måste fyllas i för att BBR-krav ska räknas ut.</t>
        </r>
      </text>
    </comment>
    <comment ref="F5" authorId="0" shapeId="0" xr:uid="{70DCF623-6E6C-40F2-9375-5FC1EC224652}">
      <text>
        <r>
          <rPr>
            <sz val="9"/>
            <color indexed="81"/>
            <rFont val="Tahoma"/>
            <family val="2"/>
          </rPr>
          <t>Denna tabell är bara för information, tills vidare.</t>
        </r>
      </text>
    </comment>
    <comment ref="F6" authorId="1" shapeId="0" xr:uid="{9C90736B-B036-4454-8D6B-EC39367959B0}">
      <text>
        <r>
          <rPr>
            <sz val="9"/>
            <color indexed="81"/>
            <rFont val="Tahoma"/>
            <family val="2"/>
          </rPr>
          <t>Flera bockar kan sättas på varje systemdel.</t>
        </r>
      </text>
    </comment>
    <comment ref="F10" authorId="2" shapeId="0" xr:uid="{50BF99AC-BC5B-4EB8-B65E-C32DC492BCBD}">
      <text>
        <r>
          <rPr>
            <sz val="9"/>
            <color indexed="81"/>
            <rFont val="Tahoma"/>
            <family val="2"/>
          </rPr>
          <t>Hushålls- eller verksamhetsenergi som ska återföras till uppvärmning.</t>
        </r>
      </text>
    </comment>
    <comment ref="D24" authorId="0" shapeId="0" xr:uid="{4BC291E5-A561-498C-9147-5CE18D69464D}">
      <text>
        <r>
          <rPr>
            <sz val="9"/>
            <color indexed="81"/>
            <rFont val="Tahoma"/>
            <family val="2"/>
          </rPr>
          <t>Fyll i beräknat värde vid startbesked under fliken Resultat beräkning. Observera enheten, W/m</t>
        </r>
        <r>
          <rPr>
            <vertAlign val="superscript"/>
            <sz val="9"/>
            <color indexed="81"/>
            <rFont val="Tahoma"/>
            <family val="2"/>
          </rPr>
          <t>2</t>
        </r>
        <r>
          <rPr>
            <sz val="9"/>
            <color indexed="81"/>
            <rFont val="Tahoma"/>
            <family val="2"/>
          </rPr>
          <t>.</t>
        </r>
      </text>
    </comment>
    <comment ref="E24" authorId="0" shapeId="0" xr:uid="{8C349934-4470-4F05-A742-42C9B32F2D14}">
      <text>
        <r>
          <rPr>
            <sz val="9"/>
            <color indexed="81"/>
            <rFont val="Tahoma"/>
            <family val="2"/>
          </rPr>
          <t>Fyll i verifierat värde inför slutbesked under fliken Resultat beräkning.</t>
        </r>
      </text>
    </comment>
    <comment ref="C25" authorId="0" shapeId="0" xr:uid="{2F2BE5BD-E47F-43F7-85B3-9AB9DBDA78AE}">
      <text>
        <r>
          <rPr>
            <sz val="9"/>
            <color indexed="81"/>
            <rFont val="Tahoma"/>
            <family val="2"/>
          </rPr>
          <t>Styrs av värde i ovanförliggande rutor.</t>
        </r>
      </text>
    </comment>
    <comment ref="R30" authorId="0" shapeId="0" xr:uid="{8B5D538B-65A1-4600-961A-F7F26F1324D0}">
      <text>
        <r>
          <rPr>
            <sz val="9"/>
            <color indexed="81"/>
            <rFont val="Tahoma"/>
            <family val="2"/>
          </rPr>
          <t>Denna tabell är bara för information, tills vidare.</t>
        </r>
      </text>
    </comment>
    <comment ref="L32" authorId="0" shapeId="0" xr:uid="{E4BE99FF-6D88-4590-BF12-F5D54D626E71}">
      <text>
        <r>
          <rPr>
            <sz val="9"/>
            <color indexed="81"/>
            <rFont val="Tahoma"/>
            <family val="2"/>
          </rPr>
          <t xml:space="preserve">Elpanna, värmeslingor med el eller liknande.
</t>
        </r>
      </text>
    </comment>
    <comment ref="G42" authorId="0" shapeId="0" xr:uid="{3C4ABD71-17F4-4B1E-BE95-FF7811824B47}">
      <text>
        <r>
          <rPr>
            <sz val="9"/>
            <color indexed="81"/>
            <rFont val="Franklin Gothic Book"/>
            <family val="2"/>
          </rPr>
          <t>Vad avloppsvvx bidrar till.</t>
        </r>
        <r>
          <rPr>
            <sz val="9"/>
            <color indexed="81"/>
            <rFont val="Tahoma"/>
            <family val="2"/>
          </rPr>
          <t xml:space="preserve">
</t>
        </r>
      </text>
    </comment>
    <comment ref="G43" authorId="0" shapeId="0" xr:uid="{A73574D2-DED9-44FA-96FF-5AEEFD01289D}">
      <text>
        <r>
          <rPr>
            <sz val="9"/>
            <color indexed="81"/>
            <rFont val="Franklin Gothic Book"/>
            <family val="2"/>
          </rPr>
          <t>Vad solfångaren bidrar  till.</t>
        </r>
        <r>
          <rPr>
            <sz val="9"/>
            <color indexed="81"/>
            <rFont val="Tahoma"/>
            <family val="2"/>
          </rPr>
          <t xml:space="preserve">
</t>
        </r>
      </text>
    </comment>
    <comment ref="G44" authorId="0" shapeId="0" xr:uid="{1DBA7CD4-57D7-4B9B-9520-F21D67A7C846}">
      <text>
        <r>
          <rPr>
            <sz val="9"/>
            <color indexed="81"/>
            <rFont val="Franklin Gothic Book"/>
            <family val="2"/>
          </rPr>
          <t>Vad solcellerna bidrar till.</t>
        </r>
      </text>
    </comment>
    <comment ref="G45" authorId="0" shapeId="0" xr:uid="{F9734DC3-57AE-40BC-A6BE-402E8FE5EAE7}">
      <text>
        <r>
          <rPr>
            <sz val="9"/>
            <color indexed="81"/>
            <rFont val="Tahoma"/>
            <family val="2"/>
          </rPr>
          <t xml:space="preserve">Summa verksamhetsel per byggnad.
</t>
        </r>
      </text>
    </comment>
    <comment ref="G46" authorId="0" shapeId="0" xr:uid="{59FC5889-71E1-4AF0-8F13-9CA9AB79965D}">
      <text>
        <r>
          <rPr>
            <sz val="9"/>
            <color indexed="81"/>
            <rFont val="Tahoma"/>
            <family val="2"/>
          </rPr>
          <t xml:space="preserve">Summa hushållsel per byggnad.
</t>
        </r>
      </text>
    </comment>
    <comment ref="F48" authorId="0" shapeId="0" xr:uid="{B7377216-EB0C-41C3-B96B-DEE23C0462FE}">
      <text>
        <r>
          <rPr>
            <sz val="9"/>
            <color indexed="81"/>
            <rFont val="Tahoma"/>
            <family val="2"/>
          </rPr>
          <t xml:space="preserve">Här räknas BBR-kravet ut (viktat mellan bostäder/lokal) samt ventilationstillägg och effektkrav.
</t>
        </r>
      </text>
    </comment>
    <comment ref="G48" authorId="0" shapeId="0" xr:uid="{9A06C8CA-33AA-48ED-A416-7B44974E1D04}">
      <text>
        <r>
          <rPr>
            <sz val="9"/>
            <color indexed="81"/>
            <rFont val="Tahoma"/>
            <family val="2"/>
          </rPr>
          <t>Använd gärna kommentarfält nedan för att specificera.</t>
        </r>
      </text>
    </comment>
    <comment ref="C51" authorId="0" shapeId="0" xr:uid="{69EB4AB1-04FF-42C6-B3EE-5FB9AE8E88FF}">
      <text>
        <r>
          <rPr>
            <sz val="9"/>
            <color indexed="81"/>
            <rFont val="Tahoma"/>
            <family val="2"/>
          </rPr>
          <t>Från val av kommun i ruta C6.</t>
        </r>
      </text>
    </comment>
    <comment ref="C54" authorId="0" shapeId="0" xr:uid="{EEDC2CB8-C52D-4607-975F-7FFCC77470DE}">
      <text>
        <r>
          <rPr>
            <sz val="9"/>
            <color indexed="81"/>
            <rFont val="Tahoma"/>
            <family val="2"/>
          </rPr>
          <t>Ventilationstillägg om mer än 50% smålägenheter av Atemp.</t>
        </r>
      </text>
    </comment>
    <comment ref="C55" authorId="0" shapeId="0" xr:uid="{ABB67B1C-6668-4348-BC4F-10600E415F66}">
      <text>
        <r>
          <rPr>
            <sz val="9"/>
            <color indexed="81"/>
            <rFont val="Tahoma"/>
            <family val="2"/>
          </rPr>
          <t>Fyll i aktuellt luftflöde för hela byggnadens A</t>
        </r>
        <r>
          <rPr>
            <vertAlign val="subscript"/>
            <sz val="9"/>
            <color indexed="81"/>
            <rFont val="Tahoma"/>
            <family val="2"/>
          </rPr>
          <t>temp</t>
        </r>
        <r>
          <rPr>
            <sz val="9"/>
            <color indexed="81"/>
            <rFont val="Tahoma"/>
            <family val="2"/>
          </rPr>
          <t>-area. Max 1,0 för lokal och max 0,6 för flerbostadshus (infördes i BBR 26).
Luftflödet används för att beräkna ventilationstillägg i tabellen nedan.
Lite beräkningshjälp för q</t>
        </r>
        <r>
          <rPr>
            <vertAlign val="subscript"/>
            <sz val="9"/>
            <color indexed="81"/>
            <rFont val="Tahoma"/>
            <family val="2"/>
          </rPr>
          <t>m</t>
        </r>
        <r>
          <rPr>
            <sz val="9"/>
            <color indexed="81"/>
            <rFont val="Tahoma"/>
            <family val="2"/>
          </rPr>
          <t xml:space="preserve"> finns till höger i kolumn K.</t>
        </r>
      </text>
    </comment>
    <comment ref="C59" authorId="0" shapeId="0" xr:uid="{94016223-F613-4756-BA3F-E21BE57242F5}">
      <text>
        <r>
          <rPr>
            <sz val="9"/>
            <color indexed="81"/>
            <rFont val="Tahoma"/>
            <family val="2"/>
          </rPr>
          <t>Räknas ut för  kombinerad bostad och lokal.
Viktning görs med Atemp.</t>
        </r>
      </text>
    </comment>
    <comment ref="K60" authorId="2" shapeId="0" xr:uid="{4869F0A4-7073-4088-9939-3050739EF5AA}">
      <text>
        <r>
          <rPr>
            <sz val="10"/>
            <color indexed="81"/>
            <rFont val="Franklin Gothic Book"/>
            <family val="2"/>
          </rPr>
          <t>Mata in antal timmar som luftflödet vid närvaro gäller.</t>
        </r>
      </text>
    </comment>
    <comment ref="J62" authorId="0" shapeId="0" xr:uid="{B389B485-4918-4CB7-A89F-3E0DC7374051}">
      <text>
        <r>
          <rPr>
            <sz val="9"/>
            <color indexed="81"/>
            <rFont val="Tahoma"/>
            <family val="2"/>
          </rPr>
          <t>Resultatet kan matas in i ruta D55 med ev. justering för bostadsdel eller annan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19" authorId="0" shapeId="0" xr:uid="{ACBB4987-0F48-44AC-BB0A-A8F967A0CF67}">
      <text>
        <r>
          <rPr>
            <sz val="9"/>
            <color indexed="81"/>
            <rFont val="Tahoma"/>
            <family val="2"/>
          </rPr>
          <t>Tas med som extra säkerhetsmarginal mot mätresultat enligt BEN. Storleken beror på hur distributionsförluster och övriga förluster beaktats ovan.</t>
        </r>
      </text>
    </comment>
    <comment ref="D20" authorId="0" shapeId="0" xr:uid="{692CBEDB-9D90-4B8B-8D42-22C430A02C60}">
      <text>
        <r>
          <rPr>
            <sz val="9"/>
            <color indexed="81"/>
            <rFont val="Tahoma"/>
            <family val="2"/>
          </rPr>
          <t xml:space="preserve">Resultat till flik Start och resultat.
</t>
        </r>
      </text>
    </comment>
    <comment ref="F20" authorId="0" shapeId="0" xr:uid="{F13BF6C1-ED4F-49DA-B3EA-C339BF8A84C6}">
      <text>
        <r>
          <rPr>
            <sz val="9"/>
            <color indexed="81"/>
            <rFont val="Tahoma"/>
            <family val="2"/>
          </rPr>
          <t>Resultat till flik Start och resultat.</t>
        </r>
      </text>
    </comment>
    <comment ref="B21" authorId="0" shapeId="0" xr:uid="{BF8B85DF-E6BE-47D5-9E5A-C749A660788B}">
      <text>
        <r>
          <rPr>
            <sz val="9"/>
            <color indexed="81"/>
            <rFont val="Tahoma"/>
            <family val="2"/>
          </rPr>
          <t xml:space="preserve">Redovisas för att bedöma hur stort bidrag till uppvärmningen som kan antas komma från internlaster. 
</t>
        </r>
      </text>
    </comment>
    <comment ref="F21" authorId="0" shapeId="0" xr:uid="{35897CDC-BA49-4527-994A-6BD9B1AFD20A}">
      <text>
        <r>
          <rPr>
            <sz val="9"/>
            <color indexed="81"/>
            <rFont val="Tahoma"/>
            <family val="2"/>
          </rPr>
          <t>Fyll i beräknad hushållsenergi/verksamhetsenergi.
Används i flikarna Resultat mätning och Normaliseringsunderlag.</t>
        </r>
      </text>
    </comment>
    <comment ref="B23" authorId="0" shapeId="0" xr:uid="{B07F0F32-A4DD-4C64-BF44-E297D47DD8D9}">
      <text>
        <r>
          <rPr>
            <sz val="9"/>
            <color indexed="81"/>
            <rFont val="Tahoma"/>
            <family val="2"/>
          </rPr>
          <t>Observera enheten.</t>
        </r>
      </text>
    </comment>
    <comment ref="D23" authorId="0" shapeId="0" xr:uid="{6A3C7443-C106-49CD-87C7-F2F2914CDFF7}">
      <text>
        <r>
          <rPr>
            <sz val="9"/>
            <color indexed="81"/>
            <rFont val="Tahoma"/>
            <family val="2"/>
          </rPr>
          <t>Resultat till flik Start och resultat.</t>
        </r>
      </text>
    </comment>
    <comment ref="F23" authorId="0" shapeId="0" xr:uid="{FA851AB2-CC8B-49B8-B443-5C3D8A015189}">
      <text>
        <r>
          <rPr>
            <sz val="9"/>
            <color indexed="81"/>
            <rFont val="Tahoma"/>
            <family val="2"/>
          </rPr>
          <t xml:space="preserve">Resultat till flik Start och resultat.
</t>
        </r>
      </text>
    </comment>
    <comment ref="D26" authorId="0" shapeId="0" xr:uid="{08520F62-B1C9-4BBC-95CD-995C9AF3C812}">
      <text>
        <r>
          <rPr>
            <sz val="9"/>
            <color indexed="81"/>
            <rFont val="Tahoma"/>
            <family val="2"/>
          </rPr>
          <t>Fyll i kWh för aktuella rader. Beräknat primärenergital syns i flik Start &amp; resultat.</t>
        </r>
      </text>
    </comment>
    <comment ref="F26" authorId="0" shapeId="0" xr:uid="{EA450D57-151F-40B6-BFE5-E8FD949AC06F}">
      <text>
        <r>
          <rPr>
            <sz val="9"/>
            <color indexed="81"/>
            <rFont val="Tahoma"/>
            <family val="2"/>
          </rPr>
          <t>Fyll i kWh för aktuella rader. Beräknat primärenergital syns i flik Start &amp; resultat.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D17" authorId="0" shapeId="0" xr:uid="{ABB8AD2C-2D63-4946-A402-2DA89981FF60}">
      <text>
        <r>
          <rPr>
            <sz val="9"/>
            <color indexed="81"/>
            <rFont val="Tahoma"/>
            <family val="2"/>
          </rPr>
          <t>Detta resultat används som byggnaden omslutningsarea, Aom, t.ex. vid beräkning av formfaktor nedan.</t>
        </r>
      </text>
    </comment>
    <comment ref="G17" authorId="0" shapeId="0" xr:uid="{C87A5312-74A6-4652-B3A6-4E8157AB6512}">
      <text>
        <r>
          <rPr>
            <sz val="9"/>
            <color indexed="81"/>
            <rFont val="Tahoma"/>
            <family val="2"/>
          </rPr>
          <t>Detta resultat används som byggnaden omslutningsarea, Aom, t.ex. vid beräkning av formfaktor nedan.</t>
        </r>
      </text>
    </comment>
    <comment ref="C29" authorId="0" shapeId="0" xr:uid="{0AA9647C-8150-4A8A-834F-654206CBBC1E}">
      <text>
        <r>
          <rPr>
            <sz val="9"/>
            <color indexed="81"/>
            <rFont val="Tahoma"/>
            <family val="2"/>
          </rPr>
          <t>Värdet kopieras till start-sidan.</t>
        </r>
      </text>
    </comment>
    <comment ref="F29" authorId="0" shapeId="0" xr:uid="{11303CC5-49D0-49F0-80B4-1D24C5EDE1B8}">
      <text>
        <r>
          <rPr>
            <sz val="9"/>
            <color indexed="81"/>
            <rFont val="Tahoma"/>
            <family val="2"/>
          </rPr>
          <t>Värdet kopieras till start-sidan.</t>
        </r>
      </text>
    </comment>
    <comment ref="C31" authorId="0" shapeId="0" xr:uid="{5F1A6739-A039-4138-A5B4-084AB158CE33}">
      <text>
        <r>
          <rPr>
            <sz val="9"/>
            <color indexed="81"/>
            <rFont val="Tahoma"/>
            <family val="2"/>
          </rPr>
          <t xml:space="preserve">Fyll i projekterat värde.
</t>
        </r>
      </text>
    </comment>
    <comment ref="H31" authorId="0" shapeId="0" xr:uid="{F271E06A-6F60-4CF8-BCAA-6158AFC838DC}">
      <text>
        <r>
          <rPr>
            <sz val="9"/>
            <color indexed="81"/>
            <rFont val="Tahoma"/>
            <family val="2"/>
          </rPr>
          <t xml:space="preserve">Fyll i uppmätt värde.
</t>
        </r>
      </text>
    </comment>
    <comment ref="B49" authorId="0" shapeId="0" xr:uid="{FC2325C4-A210-4D98-AF42-EBC2A17B7B43}">
      <text>
        <r>
          <rPr>
            <sz val="9"/>
            <color indexed="81"/>
            <rFont val="Tahoma"/>
            <family val="2"/>
          </rPr>
          <t>För bostäder som följer brukarindata i BEN, räcker det med att redovisa under rubriken Solskydd, och för en beräkningszon (alternativt görs olika blanketter).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3" authorId="0" shapeId="0" xr:uid="{B1F1A770-D4F2-4A3F-A0FD-DFD55EFD0839}">
      <text>
        <r>
          <rPr>
            <sz val="9"/>
            <color indexed="81"/>
            <rFont val="Tahoma"/>
            <family val="2"/>
          </rPr>
          <t>I nettovärmeenergi ingår inte  tappvarmvatten. Däremot ingår  VVC-förluster, stilleståndsförluster och distributionsförluster.
Vid fler än en energibärare för värme: Tänk på att inte ta med förlusterna fler gånger.
Resultat i kolumnerna D, E och F kommer från fliken B1. Resultat beräkning.
Mätresultat kommer från fliken C2. Inmatning och verifiering.
Atemp-area måste fyllas i (flik A), samt relevanta vita rutor på denna flik.</t>
        </r>
      </text>
    </comment>
    <comment ref="D3" authorId="0" shapeId="0" xr:uid="{71831E89-9CCC-4A16-BE0F-FA9DCBFA7CD4}">
      <text>
        <r>
          <rPr>
            <sz val="9"/>
            <color indexed="81"/>
            <rFont val="Tahoma"/>
            <family val="2"/>
          </rPr>
          <t>Inför färdigställande av programhandling eller systemhandling men före det att upphandling av systemlösningar som påverkar värme- och energianvänding sker (klimatskärm, installationer m.m.).</t>
        </r>
      </text>
    </comment>
    <comment ref="E3" authorId="0" shapeId="0" xr:uid="{9177790B-83D1-453F-8564-9F38B0F26387}">
      <text>
        <r>
          <rPr>
            <sz val="9"/>
            <color indexed="81"/>
            <rFont val="Tahoma"/>
            <family val="2"/>
          </rPr>
          <t>Inför färdigställande av bygghandling.</t>
        </r>
      </text>
    </comment>
    <comment ref="C5" authorId="0" shapeId="0" xr:uid="{C8075179-2676-44C5-AED9-33FF8B884553}">
      <text>
        <r>
          <rPr>
            <sz val="9"/>
            <color indexed="81"/>
            <rFont val="Tahoma"/>
            <family val="2"/>
          </rPr>
          <t>Rad 1 ska EJ inkludera värme för tappvarmvatten men INKLUSIVE VVC-förluster (totala) och stilleståndsförlust (rad 8).</t>
        </r>
      </text>
    </comment>
    <comment ref="C6" authorId="0" shapeId="0" xr:uid="{F98EA67D-85D5-4FB8-8D67-DD198053D34F}">
      <text>
        <r>
          <rPr>
            <sz val="9"/>
            <color indexed="81"/>
            <rFont val="Tahoma"/>
            <family val="2"/>
          </rPr>
          <t>Rad 2 ska EJ inkludera värme för tappvarmvatten men INKLUSIVE VVC-förluster (totala) och stilleståndsförlust (rad 8).
Värmefaktor SCOP för VP måste fyllas i (flik C2 cell W6).</t>
        </r>
      </text>
    </comment>
    <comment ref="G6" authorId="0" shapeId="0" xr:uid="{F17CEA86-44BA-4B32-83A1-6C1289FBD201}">
      <text>
        <r>
          <rPr>
            <sz val="9"/>
            <color indexed="81"/>
            <rFont val="Tahoma"/>
            <family val="2"/>
          </rPr>
          <t>Observera att värmefaktorer för VP behöver fyllas i på flik C2, cell W6 och ev. W7.</t>
        </r>
      </text>
    </comment>
    <comment ref="C7" authorId="0" shapeId="0" xr:uid="{F59216FB-5A3A-4DAA-B91B-0DC3CE0C16B4}">
      <text>
        <r>
          <rPr>
            <sz val="9"/>
            <color indexed="81"/>
            <rFont val="Tahoma"/>
            <family val="2"/>
          </rPr>
          <t>Rad 3 ska EJ inkludera värme för tappvarmvatten men INKLUSIVE VVC-förluster (totala) och stilleståndsförlust (rad 8).</t>
        </r>
      </text>
    </comment>
    <comment ref="C8" authorId="0" shapeId="0" xr:uid="{338F97E2-C827-41A0-962F-AB4EFA5BFE7E}">
      <text>
        <r>
          <rPr>
            <sz val="9"/>
            <color indexed="81"/>
            <rFont val="Tahoma"/>
            <family val="2"/>
          </rPr>
          <t>Rad 4 ska EJ inkludera värme för tappvarmvatten men INKLUSIVE VVC-förluster (totala) och stilleståndsförlust (rad 8).</t>
        </r>
      </text>
    </comment>
    <comment ref="C9" authorId="0" shapeId="0" xr:uid="{203FE203-04BF-440E-8A8E-186AD6482F76}">
      <text>
        <r>
          <rPr>
            <sz val="9"/>
            <color indexed="81"/>
            <rFont val="Tahoma"/>
            <family val="2"/>
          </rPr>
          <t>Elvärme som ska inräknas, även om det debiteras hushållsel/verksamhetsel.</t>
        </r>
      </text>
    </comment>
    <comment ref="G9" authorId="0" shapeId="0" xr:uid="{F41E9FC2-9E9B-4AD2-AFB7-DF9D195F1403}">
      <text>
        <r>
          <rPr>
            <sz val="9"/>
            <color indexed="81"/>
            <rFont val="Tahoma"/>
            <family val="2"/>
          </rPr>
          <t>Resultat från separat mätning om sådan finns.</t>
        </r>
      </text>
    </comment>
    <comment ref="C11" authorId="0" shapeId="0" xr:uid="{62F14DED-062D-4D21-8E3B-9A202191617E}">
      <text>
        <r>
          <rPr>
            <sz val="9"/>
            <color indexed="81"/>
            <rFont val="Tahoma"/>
            <family val="2"/>
          </rPr>
          <t>Utöver vad som ingår i vädring och förluster ovan.</t>
        </r>
      </text>
    </comment>
    <comment ref="C18" authorId="0" shapeId="0" xr:uid="{9EB88107-0C19-4865-B18F-C41FC12E8222}">
      <text>
        <r>
          <rPr>
            <sz val="9"/>
            <color indexed="81"/>
            <rFont val="Tahoma"/>
            <family val="2"/>
          </rPr>
          <t>Resultat från UHM 1A, flikarna B1 och C2 samt Atemp-area från flik A.</t>
        </r>
      </text>
    </comment>
    <comment ref="C20" authorId="0" shapeId="0" xr:uid="{B1ADCEEF-E622-476F-B268-D32DAAF84220}">
      <text>
        <r>
          <rPr>
            <sz val="9"/>
            <color indexed="81"/>
            <rFont val="Tahoma"/>
            <family val="2"/>
          </rPr>
          <t>OBS! Värme levererad av värmepumpar (rad 2) är avräknat.</t>
        </r>
      </text>
    </comment>
    <comment ref="C21" authorId="0" shapeId="0" xr:uid="{307D9FC7-DA67-42BA-A34E-0B4FE234A5FA}">
      <text>
        <r>
          <rPr>
            <sz val="9"/>
            <color indexed="81"/>
            <rFont val="Tahoma"/>
            <family val="2"/>
          </rPr>
          <t xml:space="preserve">Exklusive VVC- och stilleståndsförluster. </t>
        </r>
      </text>
    </comment>
    <comment ref="G21" authorId="0" shapeId="0" xr:uid="{F2DF0176-69C1-4E54-A171-5DA708992750}">
      <text>
        <r>
          <rPr>
            <sz val="9"/>
            <color indexed="81"/>
            <rFont val="Tahoma"/>
            <family val="2"/>
          </rPr>
          <t>Normaliserat värde med hänsyn till värmefaktorer/verkningsgrader avloppsåtervinning och solbidrag.</t>
        </r>
      </text>
    </comment>
    <comment ref="C22" authorId="0" shapeId="0" xr:uid="{B6B4E51E-7B36-416A-A61C-A45A916C504C}">
      <text>
        <r>
          <rPr>
            <sz val="9"/>
            <color indexed="81"/>
            <rFont val="Tahoma"/>
            <family val="2"/>
          </rPr>
          <t>Från denna rad (14) ska VVC-förluster och stilleståndsförluster (från rad 8) avräknas.</t>
        </r>
      </text>
    </comment>
    <comment ref="G22" authorId="0" shapeId="0" xr:uid="{2096047C-7B22-4343-A30D-BCF68C6D7EEC}">
      <text>
        <r>
          <rPr>
            <sz val="9"/>
            <color indexed="81"/>
            <rFont val="Tahoma"/>
            <family val="2"/>
          </rPr>
          <t>Normaliserat värde med hänsyn till värmefaktorer/verkningsgrader avloppsåtervinning och solbidrag.</t>
        </r>
      </text>
    </comment>
    <comment ref="C23" authorId="0" shapeId="0" xr:uid="{96C039E8-71B7-48AD-9336-ED673AF5482D}">
      <text>
        <r>
          <rPr>
            <sz val="9"/>
            <color indexed="81"/>
            <rFont val="Tahoma"/>
            <family val="2"/>
          </rPr>
          <t>INKLUSIVE VVC-förluster och stilleståndsförluster (från rad 8).</t>
        </r>
      </text>
    </comment>
    <comment ref="C24" authorId="0" shapeId="0" xr:uid="{5C70ACF3-457B-49F8-AC12-9BA083C157EC}">
      <text>
        <r>
          <rPr>
            <sz val="9"/>
            <color indexed="81"/>
            <rFont val="Tahoma"/>
            <family val="2"/>
          </rPr>
          <t>El till VVC-förluster och stilleståndsförluster (rad 8) ska ingå.</t>
        </r>
      </text>
    </comment>
    <comment ref="C25" authorId="0" shapeId="0" xr:uid="{BAB3310F-10FD-4918-82C2-2B1E146DE8B9}">
      <text>
        <r>
          <rPr>
            <sz val="9"/>
            <color indexed="81"/>
            <rFont val="Tahoma"/>
            <family val="2"/>
          </rPr>
          <t>El som upptas på rad 14-16 samt 27-31 ska inte ingå.</t>
        </r>
      </text>
    </comment>
    <comment ref="C28" authorId="0" shapeId="0" xr:uid="{2A8CB5E0-BB0B-401C-B437-519CE21E352C}">
      <text>
        <r>
          <rPr>
            <sz val="9"/>
            <color indexed="81"/>
            <rFont val="Tahoma"/>
            <family val="2"/>
          </rPr>
          <t>Producerad förnybar energi på fastigheten och tillgodogjord för byggnadens energianvändning, (exkl. exporterad).</t>
        </r>
      </text>
    </comment>
    <comment ref="C31" authorId="0" shapeId="0" xr:uid="{9B102B25-AAA9-4FBE-B870-D8CEF3EB239C}">
      <text>
        <r>
          <rPr>
            <sz val="9"/>
            <color indexed="81"/>
            <rFont val="Tahoma"/>
            <family val="2"/>
          </rPr>
          <t>Poster som ingår i energianvändningen.</t>
        </r>
      </text>
    </comment>
    <comment ref="C32" authorId="0" shapeId="0" xr:uid="{99787570-D06E-421B-8C7B-7C3E4FC45633}">
      <text>
        <r>
          <rPr>
            <sz val="9"/>
            <color indexed="81"/>
            <rFont val="Tahoma"/>
            <family val="2"/>
          </rPr>
          <t>Beräknade värden matas in på flik B1, och uppmätta värden matas in på flik C2.</t>
        </r>
      </text>
    </comment>
    <comment ref="C38" authorId="0" shapeId="0" xr:uid="{818C1751-66BE-46F5-A400-293C7AF21100}">
      <text>
        <r>
          <rPr>
            <sz val="9"/>
            <color indexed="81"/>
            <rFont val="Tahoma"/>
            <family val="2"/>
          </rPr>
          <t>Poster som inte ska ingå i energianvändning. Kan dras av om storleken är känd.</t>
        </r>
      </text>
    </comment>
    <comment ref="C39" authorId="0" shapeId="0" xr:uid="{B6DAE12C-473A-424C-ABC9-E4EABEFD3EE6}">
      <text>
        <r>
          <rPr>
            <sz val="9"/>
            <color indexed="81"/>
            <rFont val="Tahoma"/>
            <family val="2"/>
          </rPr>
          <t>Bör flyttas till hushållsel.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D4" authorId="0" shapeId="0" xr:uid="{150B7DEB-0704-4D05-895F-F9F8D1312641}">
      <text>
        <r>
          <rPr>
            <sz val="9"/>
            <color indexed="81"/>
            <rFont val="Tahoma"/>
            <family val="2"/>
          </rPr>
          <t>Fyll i uppdaterade värden, om sådana finns. Om inga ändringar, fyll i samma värden som kolumn C.</t>
        </r>
      </text>
    </comment>
    <comment ref="E4" authorId="0" shapeId="0" xr:uid="{981B8610-BCE8-4821-B4D9-B7F524BD6D43}">
      <text>
        <r>
          <rPr>
            <sz val="9"/>
            <color indexed="81"/>
            <rFont val="Tahoma"/>
            <family val="2"/>
          </rPr>
          <t xml:space="preserve">Alternativt relationshandling.
</t>
        </r>
      </text>
    </comment>
    <comment ref="B9" authorId="0" shapeId="0" xr:uid="{BD1B9E6F-CB45-4A65-91D9-1D3051DB0E3D}">
      <text>
        <r>
          <rPr>
            <sz val="9"/>
            <color indexed="81"/>
            <rFont val="Tahoma"/>
            <family val="2"/>
          </rPr>
          <t>Ange temperaturverkningsgrad vid balanserade flöden. Ett avdrag på 3 %-enehter görs sedan i beräkningen (för avfrostning, nedsmutsning, obalans m.m.).</t>
        </r>
      </text>
    </comment>
    <comment ref="B10" authorId="0" shapeId="0" xr:uid="{CEF91826-A91B-40D1-A7AE-F79F0727707C}">
      <text>
        <r>
          <rPr>
            <sz val="9"/>
            <color indexed="81"/>
            <rFont val="Tahoma"/>
            <family val="2"/>
          </rPr>
          <t>Skriv in luftflöde motsvarande 0,35 l/sm</t>
        </r>
        <r>
          <rPr>
            <vertAlign val="superscript"/>
            <sz val="9"/>
            <color indexed="81"/>
            <rFont val="Tahoma"/>
            <family val="2"/>
          </rPr>
          <t>2</t>
        </r>
        <r>
          <rPr>
            <sz val="9"/>
            <color indexed="81"/>
            <rFont val="Tahoma"/>
            <family val="2"/>
          </rPr>
          <t>A</t>
        </r>
        <r>
          <rPr>
            <vertAlign val="subscript"/>
            <sz val="9"/>
            <color indexed="81"/>
            <rFont val="Tahoma"/>
            <family val="2"/>
          </rPr>
          <t>temp</t>
        </r>
        <r>
          <rPr>
            <sz val="9"/>
            <color indexed="81"/>
            <rFont val="Tahoma"/>
            <family val="2"/>
          </rPr>
          <t xml:space="preserve">.
</t>
        </r>
      </text>
    </comment>
    <comment ref="B11" authorId="0" shapeId="0" xr:uid="{7EEE8347-6FA4-4E09-A602-5859E3F11F85}">
      <text>
        <r>
          <rPr>
            <sz val="9"/>
            <color indexed="81"/>
            <rFont val="Tahoma"/>
            <family val="2"/>
          </rPr>
          <t>Behöver nedast anges vid obalans i luftflöden.</t>
        </r>
      </text>
    </comment>
    <comment ref="B12" authorId="0" shapeId="0" xr:uid="{D4778870-55B8-4FB5-8845-C35B722C9CB0}">
      <text>
        <r>
          <rPr>
            <sz val="9"/>
            <color indexed="81"/>
            <rFont val="Tahoma"/>
            <family val="2"/>
          </rPr>
          <t>Behöver nedast anges vid obalans i luftflöden.</t>
        </r>
      </text>
    </comment>
    <comment ref="B13" authorId="0" shapeId="0" xr:uid="{11A7FFAC-B8BC-44A3-BD96-F85974191DA2}">
      <text>
        <r>
          <rPr>
            <sz val="9"/>
            <color indexed="81"/>
            <rFont val="Tahoma"/>
            <family val="2"/>
          </rPr>
          <t xml:space="preserve">Luftflöde vid 50 Pa tryckskillnad. Värden från flik B1.
</t>
        </r>
      </text>
    </comment>
    <comment ref="M13" authorId="0" shapeId="0" xr:uid="{4CF12831-A979-40A1-98A7-00EDA9A8A246}">
      <text>
        <r>
          <rPr>
            <sz val="9"/>
            <color indexed="81"/>
            <rFont val="Tahoma"/>
            <family val="2"/>
          </rPr>
          <t>Minst sex mätperioder på minst en vecka med olika utetemperatur (enligt SS 24300-1).</t>
        </r>
      </text>
    </comment>
    <comment ref="N13" authorId="0" shapeId="0" xr:uid="{A39DF480-E835-4449-BDB0-8CC91D4FC1B0}">
      <text>
        <r>
          <rPr>
            <sz val="9"/>
            <color indexed="81"/>
            <rFont val="Tahoma"/>
            <family val="2"/>
          </rPr>
          <t>Periodlängd ska vara minst en vecka.</t>
        </r>
      </text>
    </comment>
    <comment ref="O13" authorId="0" shapeId="0" xr:uid="{91C6A6AA-65F1-48B5-B648-8F2DB00D1586}">
      <text>
        <r>
          <rPr>
            <sz val="9"/>
            <color indexed="81"/>
            <rFont val="Tahoma"/>
            <family val="2"/>
          </rPr>
          <t>Medeltemperatur under mätperioden.</t>
        </r>
      </text>
    </comment>
    <comment ref="P13" authorId="0" shapeId="0" xr:uid="{C2F7F12E-01F0-40DC-B62A-10B2C2058AAC}">
      <text>
        <r>
          <rPr>
            <sz val="9"/>
            <color indexed="81"/>
            <rFont val="Tahoma"/>
            <family val="2"/>
          </rPr>
          <t>Uppvärmningsenergi exkl. tappvarmvatten för mätperiioden.</t>
        </r>
      </text>
    </comment>
    <comment ref="Q13" authorId="0" shapeId="0" xr:uid="{33C33380-3522-4E0F-8FD5-DB7CF59BD114}">
      <text>
        <r>
          <rPr>
            <sz val="9"/>
            <color indexed="81"/>
            <rFont val="Tahoma"/>
            <family val="2"/>
          </rPr>
          <t>Omräkning av värme per mätperiod till värme per timme.</t>
        </r>
      </text>
    </comment>
    <comment ref="B14" authorId="0" shapeId="0" xr:uid="{3BEC4FF9-5201-46AB-90ED-91EFF096D7EA}">
      <text>
        <r>
          <rPr>
            <sz val="9"/>
            <color indexed="81"/>
            <rFont val="Tahoma"/>
            <family val="2"/>
          </rPr>
          <t xml:space="preserve">Fyll i värden från tabell 1 nedan.
</t>
        </r>
      </text>
    </comment>
    <comment ref="B15" authorId="0" shapeId="0" xr:uid="{87C6B5DC-63B6-42EE-9F53-BCB4F9213726}">
      <text>
        <r>
          <rPr>
            <sz val="9"/>
            <color indexed="81"/>
            <rFont val="Tahoma"/>
            <family val="2"/>
          </rPr>
          <t>Fyll i värden från tabell 1 nedan.</t>
        </r>
      </text>
    </comment>
    <comment ref="B16" authorId="0" shapeId="0" xr:uid="{15317A57-970A-4F3E-ADF7-5A2110009379}">
      <text>
        <r>
          <rPr>
            <sz val="9"/>
            <color indexed="81"/>
            <rFont val="Tahoma"/>
            <family val="2"/>
          </rPr>
          <t>Beräkning enligt formel nedan.</t>
        </r>
      </text>
    </comment>
    <comment ref="B17" authorId="0" shapeId="0" xr:uid="{21888F3B-BE9C-431B-9F16-650962BF8AA3}">
      <text>
        <r>
          <rPr>
            <sz val="9"/>
            <color indexed="81"/>
            <rFont val="Tahoma"/>
            <family val="2"/>
          </rPr>
          <t>Beräkning enligt formel nedan.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E4" authorId="0" shapeId="0" xr:uid="{00000000-0006-0000-0200-000001000000}">
      <text>
        <r>
          <rPr>
            <sz val="9"/>
            <color indexed="81"/>
            <rFont val="Tahoma"/>
            <family val="2"/>
          </rPr>
          <t>Flera bockar kan sättas på varje systemdel.</t>
        </r>
      </text>
    </comment>
    <comment ref="E8" authorId="1" shapeId="0" xr:uid="{00000000-0006-0000-0200-000002000000}">
      <text>
        <r>
          <rPr>
            <sz val="9"/>
            <color indexed="81"/>
            <rFont val="Tahoma"/>
            <family val="2"/>
          </rPr>
          <t>Hushålls- eller verksamhetsenergi som ska återföras till uppvärmning.</t>
        </r>
      </text>
    </comment>
    <comment ref="B31" authorId="0" shapeId="0" xr:uid="{00000000-0006-0000-0200-000003000000}">
      <text>
        <r>
          <rPr>
            <sz val="9"/>
            <color indexed="81"/>
            <rFont val="Tahoma"/>
            <family val="2"/>
          </rPr>
          <t>Byggnadens fastighetsenergi enligt BBR</t>
        </r>
      </text>
    </comment>
    <comment ref="B35" authorId="1" shapeId="0" xr:uid="{00000000-0006-0000-0200-000004000000}">
      <text>
        <r>
          <rPr>
            <sz val="9"/>
            <color indexed="81"/>
            <rFont val="Tahoma"/>
            <family val="2"/>
          </rPr>
          <t xml:space="preserve">Energi till verksamhet eller hushåll som inte inräknas i BBR-kravet.
</t>
        </r>
      </text>
    </comment>
    <comment ref="B36" authorId="2" shapeId="0" xr:uid="{A28FF9F5-C795-46B8-B414-A67A5C7C9B77}">
      <text>
        <r>
          <rPr>
            <sz val="9"/>
            <color indexed="81"/>
            <rFont val="Tahoma"/>
            <family val="2"/>
          </rPr>
          <t xml:space="preserve">Ingår inte i energiprestanda.
</t>
        </r>
      </text>
    </comment>
    <comment ref="B37" authorId="2" shapeId="0" xr:uid="{10746D10-A7DF-4E8D-9C4D-C464992761FA}">
      <text>
        <r>
          <rPr>
            <sz val="9"/>
            <color indexed="81"/>
            <rFont val="Tahoma"/>
            <family val="2"/>
          </rPr>
          <t xml:space="preserve">Ingår inte i energiprestanda.
</t>
        </r>
      </text>
    </comment>
    <comment ref="B38" authorId="2" shapeId="0" xr:uid="{C63CC084-5789-4DC0-89C8-19E7F3E4A424}">
      <text>
        <r>
          <rPr>
            <sz val="9"/>
            <color indexed="81"/>
            <rFont val="Tahoma"/>
            <family val="2"/>
          </rPr>
          <t xml:space="preserve">Ingår inte i energiprestanda.
</t>
        </r>
      </text>
    </comment>
    <comment ref="B39" authorId="0" shapeId="0" xr:uid="{00000000-0006-0000-0200-000005000000}">
      <text>
        <r>
          <rPr>
            <sz val="9"/>
            <color indexed="81"/>
            <rFont val="Tahoma"/>
            <family val="2"/>
          </rPr>
          <t>Specifik energianvändning enligt BBR</t>
        </r>
      </text>
    </comment>
    <comment ref="B48" authorId="2" shapeId="0" xr:uid="{989F10FB-6C90-41BB-A6FF-08430861A48B}">
      <text>
        <r>
          <rPr>
            <sz val="9"/>
            <color indexed="81"/>
            <rFont val="Tahoma"/>
            <family val="2"/>
          </rPr>
          <t>Byggnadens fastighetsenergi enligt BBR.</t>
        </r>
      </text>
    </comment>
    <comment ref="B52" authorId="1" shapeId="0" xr:uid="{00000000-0006-0000-0200-000006000000}">
      <text>
        <r>
          <rPr>
            <sz val="9"/>
            <color indexed="81"/>
            <rFont val="Tahoma"/>
            <family val="2"/>
          </rPr>
          <t xml:space="preserve">Energi till verksamhet eller hushåll som inte inräknas i BBR-kravet.
</t>
        </r>
      </text>
    </comment>
    <comment ref="B53" authorId="2" shapeId="0" xr:uid="{E4804C22-9355-4ED0-AAED-1A27118EC88A}">
      <text>
        <r>
          <rPr>
            <sz val="9"/>
            <color indexed="81"/>
            <rFont val="Tahoma"/>
            <family val="2"/>
          </rPr>
          <t>Ingår inte i energiprestanda.</t>
        </r>
      </text>
    </comment>
    <comment ref="B54" authorId="2" shapeId="0" xr:uid="{89195E67-3AD7-493F-B9F5-E0B60781B3C2}">
      <text>
        <r>
          <rPr>
            <sz val="9"/>
            <color indexed="81"/>
            <rFont val="Tahoma"/>
            <family val="2"/>
          </rPr>
          <t>Ingår inte i energiprestanda.</t>
        </r>
      </text>
    </comment>
    <comment ref="B55" authorId="2" shapeId="0" xr:uid="{23EA5B92-790B-41E8-AE01-BB00486520C8}">
      <text>
        <r>
          <rPr>
            <sz val="9"/>
            <color indexed="81"/>
            <rFont val="Tahoma"/>
            <family val="2"/>
          </rPr>
          <t xml:space="preserve">Ingår inte i energiprestanda.
</t>
        </r>
      </text>
    </comment>
    <comment ref="B56" authorId="0" shapeId="0" xr:uid="{00000000-0006-0000-0200-000007000000}">
      <text>
        <r>
          <rPr>
            <sz val="9"/>
            <color indexed="81"/>
            <rFont val="Tahoma"/>
            <family val="2"/>
          </rPr>
          <t>Specifik energianvändning enligt BBR</t>
        </r>
      </text>
    </comment>
    <comment ref="B65" authorId="2" shapeId="0" xr:uid="{BBA469E6-5FFC-4C7F-928C-CAE24586DF78}">
      <text>
        <r>
          <rPr>
            <sz val="9"/>
            <color indexed="81"/>
            <rFont val="Tahoma"/>
            <family val="2"/>
          </rPr>
          <t>Byggnadens fastighetsenergi enligt BBR.</t>
        </r>
      </text>
    </comment>
    <comment ref="B69" authorId="1" shapeId="0" xr:uid="{00000000-0006-0000-0200-000008000000}">
      <text>
        <r>
          <rPr>
            <sz val="9"/>
            <color indexed="81"/>
            <rFont val="Tahoma"/>
            <family val="2"/>
          </rPr>
          <t xml:space="preserve">Energi till verksamhet eller hushåll som inte inräknas i BBR-kravet.
</t>
        </r>
      </text>
    </comment>
    <comment ref="B70" authorId="2" shapeId="0" xr:uid="{D7BAF3D1-5182-43BC-A8A5-A94ABBB33FB5}">
      <text>
        <r>
          <rPr>
            <sz val="9"/>
            <color indexed="81"/>
            <rFont val="Tahoma"/>
            <family val="2"/>
          </rPr>
          <t xml:space="preserve">Ingår inte i energiprestanda.
</t>
        </r>
      </text>
    </comment>
    <comment ref="B71" authorId="2" shapeId="0" xr:uid="{8D35FA17-00C1-420F-9486-FECDE1DF1AB8}">
      <text>
        <r>
          <rPr>
            <sz val="9"/>
            <color indexed="81"/>
            <rFont val="Tahoma"/>
            <family val="2"/>
          </rPr>
          <t xml:space="preserve">Ingår inte i energiprestanda.
</t>
        </r>
      </text>
    </comment>
    <comment ref="B72" authorId="2" shapeId="0" xr:uid="{E9A59D58-437F-49E7-ACDC-D19F70F1B0AB}">
      <text>
        <r>
          <rPr>
            <sz val="9"/>
            <color indexed="81"/>
            <rFont val="Tahoma"/>
            <family val="2"/>
          </rPr>
          <t xml:space="preserve">Ingår inte i energiprestanda.
</t>
        </r>
      </text>
    </comment>
    <comment ref="B73" authorId="0" shapeId="0" xr:uid="{00000000-0006-0000-0200-000009000000}">
      <text>
        <r>
          <rPr>
            <sz val="9"/>
            <color indexed="81"/>
            <rFont val="Tahoma"/>
            <family val="2"/>
          </rPr>
          <t>Specifik energianvändning enligt BBR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8" authorId="0" shapeId="0" xr:uid="{E0F7B06B-0D5B-41DD-B04C-1DAD46B6BD10}">
      <text>
        <r>
          <rPr>
            <sz val="9"/>
            <color indexed="81"/>
            <rFont val="Tahoma"/>
            <family val="2"/>
          </rPr>
          <t>Från fliken Resultat beräkning.</t>
        </r>
      </text>
    </comment>
    <comment ref="D8" authorId="0" shapeId="0" xr:uid="{618340FE-9DE2-4929-9381-7FF58A0EE5D8}">
      <text>
        <r>
          <rPr>
            <sz val="9"/>
            <color indexed="81"/>
            <rFont val="Tahoma"/>
            <family val="2"/>
          </rPr>
          <t>Från fliken Resultat beräkning.</t>
        </r>
      </text>
    </comment>
    <comment ref="E8" authorId="0" shapeId="0" xr:uid="{B9028906-0FB5-42CF-A605-00889B36D60B}">
      <text>
        <r>
          <rPr>
            <sz val="9"/>
            <color indexed="81"/>
            <rFont val="Tahoma"/>
            <family val="2"/>
          </rPr>
          <t xml:space="preserve">Från fliken Inmatning och verifiering.
</t>
        </r>
      </text>
    </comment>
    <comment ref="F8" authorId="0" shapeId="0" xr:uid="{F97A4A20-7C4D-4DA9-85CC-53FAFE6EAA6F}">
      <text>
        <r>
          <rPr>
            <sz val="9"/>
            <color indexed="81"/>
            <rFont val="Tahoma"/>
            <family val="2"/>
          </rPr>
          <t>Från fliken Inmatning och verifiering.</t>
        </r>
      </text>
    </comment>
    <comment ref="G8" authorId="0" shapeId="0" xr:uid="{8CA919BB-ECB8-4561-9B9A-72CDE10CA2C5}">
      <text>
        <r>
          <rPr>
            <sz val="9"/>
            <color indexed="81"/>
            <rFont val="Tahoma"/>
            <family val="2"/>
          </rPr>
          <t>Från fliken Inmatning och verifiering.</t>
        </r>
      </text>
    </comment>
    <comment ref="J11" authorId="0" shapeId="0" xr:uid="{D5ABA67E-60CD-477C-B754-5A3300E508F6}">
      <text>
        <r>
          <rPr>
            <sz val="9"/>
            <color indexed="81"/>
            <rFont val="Tahoma"/>
            <family val="2"/>
          </rPr>
          <t xml:space="preserve">VVC räknas till uppvärmning men ska helst inte normalårskorrigeras.
</t>
        </r>
      </text>
    </comment>
    <comment ref="J18" authorId="0" shapeId="0" xr:uid="{D1EDF9E5-4D41-4E5A-A603-09DE135940A5}">
      <text>
        <r>
          <rPr>
            <sz val="9"/>
            <color indexed="81"/>
            <rFont val="Tahoma"/>
            <family val="2"/>
          </rPr>
          <t xml:space="preserve">VVC räknas till uppvärmning men ska helst inte normalårskorrigeras.
</t>
        </r>
      </text>
    </comment>
    <comment ref="J25" authorId="0" shapeId="0" xr:uid="{E25B979D-A888-42BA-A162-658715987C87}">
      <text>
        <r>
          <rPr>
            <sz val="9"/>
            <color indexed="81"/>
            <rFont val="Tahoma"/>
            <family val="2"/>
          </rPr>
          <t xml:space="preserve">VVC räknas till uppvärmning men ska helst inte normalårskorrigeras.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author>
    <author>perle</author>
    <author>saralind</author>
    <author>peralevi</author>
  </authors>
  <commentList>
    <comment ref="R2" authorId="0" shapeId="0" xr:uid="{70FCF926-617D-43D8-8CA8-89AB8AF9874C}">
      <text>
        <r>
          <rPr>
            <sz val="9"/>
            <color indexed="81"/>
            <rFont val="Tahoma"/>
            <family val="2"/>
          </rPr>
          <t>Sveby/BENs brukarindata eller avsett (projekterat) brukande för lokalbyggnader.
Fyll i aktuella rader i denna kolumn.</t>
        </r>
      </text>
    </comment>
    <comment ref="S2" authorId="1" shapeId="0" xr:uid="{0C27E2C8-4CB2-4992-894A-1FD0626C5647}">
      <text>
        <r>
          <rPr>
            <sz val="9"/>
            <color indexed="81"/>
            <rFont val="Tahoma"/>
            <family val="2"/>
          </rPr>
          <t>Uppmätt indata, eller beräknat från uppmätt indata, i driftsatt byggnad.
Fyll i motsvarande rader som i kolumn R.</t>
        </r>
      </text>
    </comment>
    <comment ref="T2" authorId="0" shapeId="0" xr:uid="{A4EFAEB7-5FCA-4A18-AC61-9BAEDC80DE81}">
      <text>
        <r>
          <rPr>
            <sz val="9"/>
            <color indexed="81"/>
            <rFont val="Tahoma"/>
            <family val="2"/>
          </rPr>
          <t>Skillnad mellan beräknade/projekterade och uppmätta indatavärden.
Innetemperatur vinter, samt verksamhets-/hushållsel, används för schablonkorrigering enligt BEN om indata skrivits in.</t>
        </r>
      </text>
    </comment>
    <comment ref="AE2" authorId="2" shapeId="0" xr:uid="{6B2A66DF-4596-4F89-B375-FB4B0A59C163}">
      <text>
        <r>
          <rPr>
            <sz val="9"/>
            <color indexed="81"/>
            <rFont val="Tahoma"/>
            <family val="2"/>
          </rPr>
          <t>Viktat värde baserat på bostadsarea och lokalarea som angivits i fliken "Byggnadsinfo med BBR".</t>
        </r>
      </text>
    </comment>
    <comment ref="AF2" authorId="2" shapeId="0" xr:uid="{07AA7D3D-D605-41F9-9709-F8F3558AE670}">
      <text>
        <r>
          <rPr>
            <sz val="9"/>
            <color indexed="81"/>
            <rFont val="Tahoma"/>
            <family val="2"/>
          </rPr>
          <t>Beräknas enligt schablon i BEN 2, baserat på angivna data i fliken "Basdata &amp; Resultat".</t>
        </r>
      </text>
    </comment>
    <comment ref="AG2" authorId="2" shapeId="0" xr:uid="{F3165D0B-CD34-4DC3-9A22-30D19FB4585C}">
      <text>
        <r>
          <rPr>
            <sz val="9"/>
            <color indexed="81"/>
            <rFont val="Tahoma"/>
            <family val="2"/>
          </rPr>
          <t>Baseras på mätdata i kolumn G., korrigerat till normalt brukande. Underlag från mätning ska bifogas.</t>
        </r>
      </text>
    </comment>
    <comment ref="AH2" authorId="2" shapeId="0" xr:uid="{1C172CB0-40D0-4D43-8DE3-169DF2D8F811}">
      <text>
        <r>
          <rPr>
            <sz val="9"/>
            <color indexed="81"/>
            <rFont val="Tahoma"/>
            <family val="2"/>
          </rPr>
          <t>Beräknas med angivet COP/verkningsgrad för TVV i ruta AC6.
Värdena förs vidare till "Resultat mätning".</t>
        </r>
      </text>
    </comment>
    <comment ref="V6" authorId="3" shapeId="0" xr:uid="{7534A2CD-17D2-47BF-9AF1-2E3188B331ED}">
      <text>
        <r>
          <rPr>
            <sz val="9"/>
            <color indexed="81"/>
            <rFont val="Tahoma"/>
            <family val="2"/>
          </rPr>
          <t xml:space="preserve">Används bara för korrigering till normal hushålls-/verksamhetsel i kolumn AC.
</t>
        </r>
      </text>
    </comment>
    <comment ref="V7" authorId="3" shapeId="0" xr:uid="{D6FC0C64-5D7B-4D87-9D34-DB9F2F384E6C}">
      <text>
        <r>
          <rPr>
            <sz val="9"/>
            <color indexed="81"/>
            <rFont val="Tahoma"/>
            <family val="2"/>
          </rPr>
          <t>Skriv in medelverkningsgraden för tappvarmvatten. Används för att räkna ut normalt TVV samt elanvändningen för tappvarmvatten (kolumn X). 
Vid okänt värde använd BEN-värden från tabellen bredvid (till höger).</t>
        </r>
      </text>
    </comment>
    <comment ref="A10" authorId="1" shapeId="0" xr:uid="{5DDB2BCF-565F-4F87-8573-0C41B8C457AC}">
      <text>
        <r>
          <rPr>
            <sz val="9"/>
            <color indexed="81"/>
            <rFont val="Tahoma"/>
            <family val="2"/>
          </rPr>
          <t>Använd denna rad för korta förtydliganden av mätningarna. Även fälten ovanför tabellen kan användas.
Ange t.ex. mätning med debiteringsmätare (DM) eller undermätare (UM), eller fördelat värde (F). Underlag till fördelat värde ska redovisas.
Andra förtydliganden är VM för volymmätning och VVM för värmemängdsmätning eller EM för energimätning.</t>
        </r>
      </text>
    </comment>
    <comment ref="B11" authorId="3" shapeId="0" xr:uid="{05FA3AEC-4D5F-4E85-9284-CA418A451CCD}">
      <text>
        <r>
          <rPr>
            <sz val="9"/>
            <color indexed="81"/>
            <rFont val="Tahoma"/>
            <family val="2"/>
          </rPr>
          <t>Köpt färrvärmei, förutsätter att tappvarmvatten och VVC ingår (dras av i kolumn M och R). 
Om tvv och VVC inte ingår här behöver de adderas för att komma med.
Det som inte ingår kan dras av i kolumn H.</t>
        </r>
      </text>
    </comment>
    <comment ref="C11" authorId="3" shapeId="0" xr:uid="{8D08DC05-60AC-4EAD-A9BC-6765DB540F0E}">
      <text>
        <r>
          <rPr>
            <sz val="9"/>
            <color indexed="81"/>
            <rFont val="Tahoma"/>
            <family val="2"/>
          </rPr>
          <t>All köpt el till byggnaden.
Avdrag och tillägg görs i avsedda kolumner till höger om denna.</t>
        </r>
      </text>
    </comment>
    <comment ref="D11" authorId="3" shapeId="0" xr:uid="{DDF2FAD9-0E76-4E9D-9D90-C6D9A475AA4A}">
      <text>
        <r>
          <rPr>
            <sz val="9"/>
            <color indexed="81"/>
            <rFont val="Tahoma"/>
            <family val="2"/>
          </rPr>
          <t xml:space="preserve">Köpt fjärrkyla till byggnaden. Avdrag och tillägg kan göras i avsedda kolumner till höger om denna.
</t>
        </r>
      </text>
    </comment>
    <comment ref="E11" authorId="3" shapeId="0" xr:uid="{1A130FCC-B328-4534-89D7-B9FE265FF8DD}">
      <text>
        <r>
          <rPr>
            <sz val="9"/>
            <color indexed="81"/>
            <rFont val="Tahoma"/>
            <family val="2"/>
          </rPr>
          <t>Biobränsle som använts i byggnaden (även gratisved).</t>
        </r>
      </text>
    </comment>
    <comment ref="F11" authorId="3" shapeId="0" xr:uid="{19969FD1-1F26-452D-8163-147076A4B09B}">
      <text>
        <r>
          <rPr>
            <sz val="9"/>
            <color indexed="81"/>
            <rFont val="Tahoma"/>
            <family val="2"/>
          </rPr>
          <t xml:space="preserve">Om både fossil olja och fossil gas förekommer får dessa adderas här.
</t>
        </r>
      </text>
    </comment>
    <comment ref="G11" authorId="3" shapeId="0" xr:uid="{26DFE654-675C-4BEF-B56B-7B12A7779E09}">
      <text>
        <r>
          <rPr>
            <sz val="9"/>
            <color indexed="81"/>
            <rFont val="Tahoma"/>
            <family val="2"/>
          </rPr>
          <t>Använd denna kolumn för el till värmepump, som kan göra  tappvarmvatten, värme, eller bägge..
Dras av från köpt el.</t>
        </r>
      </text>
    </comment>
    <comment ref="H11" authorId="3" shapeId="0" xr:uid="{8E3DF699-D945-492F-8273-832B473C2F1E}">
      <text>
        <r>
          <rPr>
            <sz val="9"/>
            <color indexed="81"/>
            <rFont val="Tahoma"/>
            <family val="2"/>
          </rPr>
          <t>Vidareleveranser eller annat som inte ska ingå kan dras av här.</t>
        </r>
      </text>
    </comment>
    <comment ref="I11" authorId="3" shapeId="0" xr:uid="{5CDE3521-8D18-4257-B2D9-25EC2424E6C8}">
      <text>
        <r>
          <rPr>
            <sz val="9"/>
            <color indexed="81"/>
            <rFont val="Tahoma"/>
            <family val="2"/>
          </rPr>
          <t>Här kan el som inte ingår dras av alternativt el som ska ingå men ligger på annan mätare läggas till (inmatning med minustecken i det senare fallet).</t>
        </r>
      </text>
    </comment>
    <comment ref="J11" authorId="3" shapeId="0" xr:uid="{D27AF7E1-1492-4273-807B-8223CFD794E8}">
      <text>
        <r>
          <rPr>
            <sz val="9"/>
            <color indexed="81"/>
            <rFont val="Tahoma"/>
            <family val="2"/>
          </rPr>
          <t xml:space="preserve">Processfjärrkyla eller vidareleveranser till annan byggnad, om sådana finns. Dras av från fjärrkyla.
</t>
        </r>
      </text>
    </comment>
    <comment ref="K11" authorId="2" shapeId="0" xr:uid="{D6E230EF-8220-4F03-99E5-A76ECB631581}">
      <text>
        <r>
          <rPr>
            <sz val="9"/>
            <color indexed="81"/>
            <rFont val="Tahoma"/>
            <family val="2"/>
          </rPr>
          <t>Tillägg respektive avdrag för värmeposter som ska respektive inte ska ingå i byggnadens energianvändning enligt BBR:s definition. 
Exempelvis trottoarvärmeslingor och poolvärme.
Aktuella poster och sammanställning ska visas separat.</t>
        </r>
      </text>
    </comment>
    <comment ref="L11" authorId="3" shapeId="0" xr:uid="{C527C4C5-4D5A-4C36-9AB8-D608A049C777}">
      <text>
        <r>
          <rPr>
            <sz val="9"/>
            <color indexed="81"/>
            <rFont val="Tahoma"/>
            <family val="2"/>
          </rPr>
          <t xml:space="preserve">Tillägg respektive avdrag för värmeposter som ska respektive inte ska ingå i byggnadens energianvändning enligt BBR:s definition. 
Exempelvis trottoarvärmeslingor och poolvärme.
Aktuella poster och sammanställning ska visas separat.
</t>
        </r>
      </text>
    </comment>
    <comment ref="M11" authorId="2" shapeId="0" xr:uid="{D672AD60-AC96-4518-9795-F83DFFEA20EE}">
      <text>
        <r>
          <rPr>
            <sz val="9"/>
            <color indexed="81"/>
            <rFont val="Tahoma"/>
            <family val="2"/>
          </rPr>
          <t>Från momentan mätning eller loggning.
Dras av från köpt värme och läggs sedan tillbaka utan att normalårskorrigeras.</t>
        </r>
      </text>
    </comment>
    <comment ref="N11" authorId="3" shapeId="0" xr:uid="{F6B82F85-0DBD-4CEC-9BCF-3B5A19588FA1}">
      <text>
        <r>
          <rPr>
            <sz val="9"/>
            <color indexed="81"/>
            <rFont val="Tahoma"/>
            <family val="2"/>
          </rPr>
          <t xml:space="preserve">Från momentan mätning eller loggning.
Dras av från köpt värme och läggs sedan tillbaka utan att normalårskorrigeras.
</t>
        </r>
      </text>
    </comment>
    <comment ref="O11" authorId="3" shapeId="0" xr:uid="{A6ABDBFA-ADCA-4DAF-90F3-39102EA59ED2}">
      <text>
        <r>
          <rPr>
            <sz val="9"/>
            <color indexed="81"/>
            <rFont val="Tahoma"/>
            <family val="2"/>
          </rPr>
          <t>Från momentan mätning eller loggning.
Dras av från köpt värme och läggs sedan tillbaka utan att normalårskorrigeras.</t>
        </r>
      </text>
    </comment>
    <comment ref="P11" authorId="3" shapeId="0" xr:uid="{3FCA702F-8EA8-4A9E-B41F-30B8481E0C24}">
      <text>
        <r>
          <rPr>
            <sz val="9"/>
            <color indexed="81"/>
            <rFont val="Tahoma"/>
            <family val="2"/>
          </rPr>
          <t xml:space="preserve">Från momentan mätning eller loggning.
Dras av från köpt värme och läggs sedan tillbaka utan att normalårskorrigeras.
</t>
        </r>
      </text>
    </comment>
    <comment ref="Q11" authorId="3" shapeId="0" xr:uid="{12A47D65-A420-4FB9-B81E-EB1DF83437E5}">
      <text>
        <r>
          <rPr>
            <sz val="9"/>
            <color indexed="81"/>
            <rFont val="Tahoma"/>
            <family val="2"/>
          </rPr>
          <t>Skriv in volymmätning i m3 i denna kolumn. 
Räkna sedan ut kWh för aktuell energibärare, t.ex genom att multiplicera med 55, eller mer detaljerad metod.</t>
        </r>
      </text>
    </comment>
    <comment ref="R11" authorId="0" shapeId="0" xr:uid="{8968D2E5-4A66-49CE-9913-8A3AB2E1D464}">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S11" authorId="3" shapeId="0" xr:uid="{51ECAECF-8F6F-4F18-8312-AA50C8669027}">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T11" authorId="3" shapeId="0" xr:uid="{F70313DF-1E1D-4DB2-BFF7-8E76F0FC8FA3}">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U11" authorId="3" shapeId="0" xr:uid="{EC4A6D90-3CBF-4EFA-A716-715C33E4CCE4}">
      <text>
        <r>
          <rPr>
            <sz val="9"/>
            <color indexed="81"/>
            <rFont val="Tahoma"/>
            <family val="2"/>
          </rPr>
          <t>Beräknat från mätning av tappvarmvattenflöde alt. energimätning.
VVC och omvandlingsförluster ska inte ingå här. De ingår i uppvärmning, om inte VVC särredovisas.</t>
        </r>
      </text>
    </comment>
    <comment ref="V11" authorId="3" shapeId="0" xr:uid="{955C2CAD-92AC-4036-BE5E-7F13F54A7329}">
      <text>
        <r>
          <rPr>
            <sz val="9"/>
            <color indexed="81"/>
            <rFont val="Tahoma"/>
            <family val="2"/>
          </rPr>
          <t xml:space="preserve">Skriv in tillgodogjord energi från solvärme och/eller avloppsvärmeväxlare till TVV. Detta kommer att tillgodoräknas efter normalisering. Underlag från mätningar bör bifogas.
</t>
        </r>
      </text>
    </comment>
    <comment ref="W11" authorId="3" shapeId="0" xr:uid="{180C1487-84E0-4967-81E5-2378EBFE435F}">
      <text>
        <r>
          <rPr>
            <sz val="9"/>
            <color indexed="81"/>
            <rFont val="Tahoma"/>
            <family val="2"/>
          </rPr>
          <t>Fjärrvärme till byggnadens uppvärmning exkl. VVC, tappvarmvatten m.m.</t>
        </r>
      </text>
    </comment>
    <comment ref="X11" authorId="3" shapeId="0" xr:uid="{53CDFEBC-E7AF-42F7-A2B9-58682BED0FC1}">
      <text>
        <r>
          <rPr>
            <sz val="9"/>
            <color indexed="81"/>
            <rFont val="Tahoma"/>
            <family val="2"/>
          </rPr>
          <t xml:space="preserve">Eluppvärmning för byggnaden. Exkl. el för VVC, tappvarmvatten, kyla, fastighetselenergi m.m.
</t>
        </r>
      </text>
    </comment>
    <comment ref="Y11" authorId="3" shapeId="0" xr:uid="{34BC7FF8-E12D-483C-903F-6D9B0509371B}">
      <text>
        <r>
          <rPr>
            <sz val="9"/>
            <color indexed="81"/>
            <rFont val="Tahoma"/>
            <family val="2"/>
          </rPr>
          <t xml:space="preserve">Biobränsle till byggnadens uppvärmning exkl. VVC, tappvarmvatten m.m.
</t>
        </r>
      </text>
    </comment>
    <comment ref="Z11" authorId="3" shapeId="0" xr:uid="{082B7C26-A0FF-415D-A378-ADA6F5884287}">
      <text>
        <r>
          <rPr>
            <sz val="9"/>
            <color indexed="81"/>
            <rFont val="Tahoma"/>
            <family val="2"/>
          </rPr>
          <t xml:space="preserve">Olja och gas till byggnadens uppvärmning exkl. VVC, tappvarmvatten m.m.
</t>
        </r>
      </text>
    </comment>
    <comment ref="AA11" authorId="0" shapeId="0" xr:uid="{022C89A2-1698-48F0-A84D-6F225B79CF4F}">
      <text>
        <r>
          <rPr>
            <sz val="9"/>
            <color indexed="81"/>
            <rFont val="Tahoma"/>
            <family val="2"/>
          </rPr>
          <t xml:space="preserve">Summan av alla energibärare.
Korrigerat för ev. tappvarmvatten, VVC  och BBR-avgränsning.
</t>
        </r>
      </text>
    </comment>
    <comment ref="AB11" authorId="3" shapeId="0" xr:uid="{A38D20C5-25E0-4A5C-A54B-3DA0DA8DB112}">
      <text>
        <r>
          <rPr>
            <sz val="9"/>
            <color indexed="81"/>
            <rFont val="Tahoma"/>
            <family val="2"/>
          </rPr>
          <t>Korrektion för ev. avvikelse från normal eller avsedd innetemperatur (BEN=5% per grad).
Beräknas baserat på angivna data i tabellen ovan.
Får ej nyttjas om orsaken är installationstekniska brister.</t>
        </r>
      </text>
    </comment>
    <comment ref="AC11" authorId="3" shapeId="0" xr:uid="{569DCC4B-085E-41F5-8E70-7002284B55C5}">
      <text>
        <r>
          <rPr>
            <sz val="9"/>
            <color indexed="81"/>
            <rFont val="Tahoma"/>
            <family val="2"/>
          </rPr>
          <t>Vid avvikande hushållsel eller verksamhetsel enligt formel i BEN. 
Beräknas enligt angivna data i tabellen ovanför.</t>
        </r>
      </text>
    </comment>
    <comment ref="AD11" authorId="1" shapeId="0" xr:uid="{6CD168CA-78C5-44AE-83FA-CF726F6F5143}">
      <text>
        <r>
          <rPr>
            <sz val="10"/>
            <color indexed="81"/>
            <rFont val="Franklin Gothic Book"/>
            <family val="2"/>
          </rPr>
          <t xml:space="preserve">Aktuell månad dividerat med normalmånad som sedan uppvärmning </t>
        </r>
        <r>
          <rPr>
            <sz val="10"/>
            <color indexed="81"/>
            <rFont val="Franklin Gothic Demi"/>
            <family val="2"/>
          </rPr>
          <t>divideras</t>
        </r>
        <r>
          <rPr>
            <sz val="10"/>
            <color indexed="81"/>
            <rFont val="Franklin Gothic Book"/>
            <family val="2"/>
          </rPr>
          <t xml:space="preserve"> med.
Graddagar, EnergiIndex eller motsv. Ange metod och ort i rutorna F6 och F7.
Kolumnen behöver fyllas i för att få resultat. Vid okänt skriv 1,0.</t>
        </r>
      </text>
    </comment>
    <comment ref="AE11" authorId="0" shapeId="0" xr:uid="{87A2D741-07E1-4506-837A-84971A4431CE}">
      <text>
        <r>
          <rPr>
            <sz val="9"/>
            <color indexed="81"/>
            <rFont val="Tahoma"/>
            <family val="2"/>
          </rPr>
          <t>Brukar- och klimatnormaliserad uppvärmning
Ger verifierad uppvärmning som ska kunna jämföras med beräknad.</t>
        </r>
      </text>
    </comment>
    <comment ref="AF11" authorId="2" shapeId="0" xr:uid="{986814F1-DFBA-4FE4-B5A1-C98CB9BC02E0}">
      <text>
        <r>
          <rPr>
            <sz val="9"/>
            <color indexed="81"/>
            <rFont val="Tahoma"/>
            <family val="2"/>
          </rPr>
          <t>Månads- eller årsvärde från relations-energiberäkningen.
Ska kunna jämföras med kolumn AE.</t>
        </r>
      </text>
    </comment>
    <comment ref="AG11" authorId="1" shapeId="0" xr:uid="{ADF01DFA-E33B-4911-89D2-0DCAA61B8C38}">
      <text>
        <r>
          <rPr>
            <sz val="9"/>
            <color indexed="81"/>
            <rFont val="Tahoma"/>
            <family val="2"/>
          </rPr>
          <t>Skriv in levererad solvärmeenergi. Har normalt redan tillgodogjorts. Separat redovisning för prestandakontroll.</t>
        </r>
      </text>
    </comment>
    <comment ref="AH11" authorId="2" shapeId="0" xr:uid="{E5B70876-1150-4ECF-BBAE-BF2D5729084A}">
      <text>
        <r>
          <rPr>
            <sz val="9"/>
            <color indexed="81"/>
            <rFont val="Tahoma"/>
            <family val="2"/>
          </rPr>
          <t>Tillägg respektive avdrag för poster som ska respektive inte ska ingå i byggnadens energianvändning enligt BBR:s definition.  Ex. varmvatten till pool eller till annan byggnad.
Avdrag matas in med minustecken.</t>
        </r>
      </text>
    </comment>
    <comment ref="AI11" authorId="3" shapeId="0" xr:uid="{C7638A73-DB71-4C4D-80F5-404525ED2406}">
      <text>
        <r>
          <rPr>
            <sz val="9"/>
            <color indexed="81"/>
            <rFont val="Tahoma"/>
            <family val="2"/>
          </rPr>
          <t>Summa uppmätt tappvarmvattenanvändning
med alla energibärare.</t>
        </r>
      </text>
    </comment>
    <comment ref="AJ11" authorId="2" shapeId="0" xr:uid="{64293305-AEF8-4CBE-BC8F-1D916E8DD2D9}">
      <text>
        <r>
          <rPr>
            <sz val="9"/>
            <color indexed="81"/>
            <rFont val="Tahoma"/>
            <family val="2"/>
          </rPr>
          <t>Ytterligare en möjlighet att dra av eller lägga till el som inte ingår resp ska ingå. 
Avdrag skrivs in med minustecken.
Sammanställning  med aktuella delposter redovisas separat.</t>
        </r>
      </text>
    </comment>
    <comment ref="AK11" authorId="0" shapeId="0" xr:uid="{E7F414A5-7102-4D83-A339-0BA7D4001A37}">
      <text>
        <r>
          <rPr>
            <sz val="9"/>
            <color indexed="81"/>
            <rFont val="Tahoma"/>
            <family val="2"/>
          </rPr>
          <t>Enligt BBR-definitionen. Kolumnen blir en restpost när el till värme, kyla, VVC och tappvarmvatten dragits av, se resp. kolumn.</t>
        </r>
      </text>
    </comment>
    <comment ref="AL11" authorId="3" shapeId="0" xr:uid="{AFC73539-B2C0-48A9-A8AB-66A6D24BFD09}">
      <text>
        <r>
          <rPr>
            <sz val="9"/>
            <color indexed="81"/>
            <rFont val="Tahoma"/>
            <family val="2"/>
          </rPr>
          <t xml:space="preserve">Från relations-energiberäkningen.
</t>
        </r>
      </text>
    </comment>
    <comment ref="AM11" authorId="0" shapeId="0" xr:uid="{D76DDB2A-261E-4D3E-9DB0-538DD2594F18}">
      <text>
        <r>
          <rPr>
            <sz val="9"/>
            <color indexed="81"/>
            <rFont val="Tahoma"/>
            <family val="2"/>
          </rPr>
          <t>Normalt redan tillgodogjord el. Separat redovisning för prestandakontroll.</t>
        </r>
      </text>
    </comment>
    <comment ref="AN11" authorId="3" shapeId="0" xr:uid="{9EE91BD6-A339-4A43-816F-812D9AAA3D37}">
      <text>
        <r>
          <rPr>
            <sz val="9"/>
            <color indexed="81"/>
            <rFont val="Tahoma"/>
            <family val="2"/>
          </rPr>
          <t xml:space="preserve">Separat redovisning för normalisering.
</t>
        </r>
      </text>
    </comment>
    <comment ref="AO11" authorId="0" shapeId="0" xr:uid="{49E4680E-54B7-4E7E-9ADA-6085390857A5}">
      <text>
        <r>
          <rPr>
            <sz val="9"/>
            <color indexed="81"/>
            <rFont val="Tahoma"/>
            <family val="2"/>
          </rPr>
          <t>Från undermätning.</t>
        </r>
      </text>
    </comment>
    <comment ref="AP11" authorId="0" shapeId="0" xr:uid="{86ABA378-BEAC-4C4C-B2A8-75CD00AA111A}">
      <text>
        <r>
          <rPr>
            <sz val="9"/>
            <color indexed="81"/>
            <rFont val="Tahoma"/>
            <family val="2"/>
          </rPr>
          <t>Övrig kyla för verksamheten eller vidareleverans som ska dras av .</t>
        </r>
      </text>
    </comment>
    <comment ref="AQ11" authorId="3" shapeId="0" xr:uid="{C4FF2FA1-C511-4E32-A635-13BB406F8B99}">
      <text>
        <r>
          <rPr>
            <sz val="9"/>
            <color indexed="81"/>
            <rFont val="Tahoma"/>
            <family val="2"/>
          </rPr>
          <t xml:space="preserve">Beräknas utifrån köpt fjärrkyla med avdrag för processkyla och vidareleveranser (kolumnerna D och J).
</t>
        </r>
      </text>
    </comment>
    <comment ref="AR11" authorId="2" shapeId="0" xr:uid="{A92EBB65-234A-4001-8967-98ABA87B94B3}">
      <text>
        <r>
          <rPr>
            <sz val="9"/>
            <color indexed="81"/>
            <rFont val="Tahoma"/>
            <family val="2"/>
          </rPr>
          <t>Uppmätt komfortkyla med el, process m.m. avdraget (kolumnerna AO och AP). Vid beräkning av primärenergitalet räknas dessa siffror upp med en faktor 1,875 enligt BBR 25 (dock inte för BBR 29)  för icke elvärmda byggnader.</t>
        </r>
      </text>
    </comment>
    <comment ref="AS11" authorId="3" shapeId="0" xr:uid="{02C4A01E-FC45-4DA1-8C2D-22215322D346}">
      <text>
        <r>
          <rPr>
            <sz val="9"/>
            <color indexed="81"/>
            <rFont val="Tahoma"/>
            <family val="2"/>
          </rPr>
          <t xml:space="preserve">Aktuell månad dividerat med normalmånad. SMHI kylindex eller motsv.
Kolumen behöver fyllas i för att få resultat. Vid okänt skriv 1,0.
</t>
        </r>
      </text>
    </comment>
    <comment ref="AT11" authorId="3" shapeId="0" xr:uid="{1DC46D79-2AED-4E66-8E0C-D1272AC8BB99}">
      <text>
        <r>
          <rPr>
            <sz val="9"/>
            <color indexed="81"/>
            <rFont val="Tahoma"/>
            <family val="2"/>
          </rPr>
          <t xml:space="preserve">Normalmånadskorrigerad och brukarkorrigerad fjärrkyla för komfortkyla. </t>
        </r>
      </text>
    </comment>
    <comment ref="AU11" authorId="3" shapeId="0" xr:uid="{CB499447-E914-416D-BCD0-24B9A0AB0BEC}">
      <text>
        <r>
          <rPr>
            <sz val="9"/>
            <color indexed="81"/>
            <rFont val="Tahoma"/>
            <family val="2"/>
          </rPr>
          <t xml:space="preserve">Normalmånadskorrigerad och brukarkorrigerad elkyla för komfortkyla. </t>
        </r>
      </text>
    </comment>
    <comment ref="AV11" authorId="2" shapeId="0" xr:uid="{51003761-8301-409D-A9BF-DD7B3E287483}">
      <text>
        <r>
          <rPr>
            <sz val="9"/>
            <color indexed="81"/>
            <rFont val="Tahoma"/>
            <family val="2"/>
          </rPr>
          <t>Beräknat behov av komfortfjärrkyla enligt relationsenergiberäkning.</t>
        </r>
      </text>
    </comment>
    <comment ref="AW11" authorId="3" shapeId="0" xr:uid="{BCFD49E0-2AA4-4806-9CCB-20F37995E4FA}">
      <text>
        <r>
          <rPr>
            <sz val="9"/>
            <color indexed="81"/>
            <rFont val="Tahoma"/>
            <family val="2"/>
          </rPr>
          <t xml:space="preserve">Beräknat behov av elkomfortkyla enligt relationsenergiberäkningen. Inmatade värden här ska </t>
        </r>
        <r>
          <rPr>
            <b/>
            <sz val="9"/>
            <color indexed="81"/>
            <rFont val="Tahoma"/>
            <family val="2"/>
          </rPr>
          <t>inte</t>
        </r>
        <r>
          <rPr>
            <sz val="9"/>
            <color indexed="81"/>
            <rFont val="Tahoma"/>
            <family val="2"/>
          </rPr>
          <t xml:space="preserve"> uppräknas här vid icke elvärmd byggnad.</t>
        </r>
      </text>
    </comment>
    <comment ref="AX11" authorId="1" shapeId="0" xr:uid="{9CCAF85F-ECEE-4B10-A2F8-8826E9DC026D}">
      <text>
        <r>
          <rPr>
            <sz val="9"/>
            <color indexed="81"/>
            <rFont val="Tahoma"/>
            <family val="2"/>
          </rPr>
          <t xml:space="preserve">Möjlighet att ange producerad frikyla för prestandaredovisning.
</t>
        </r>
      </text>
    </comment>
    <comment ref="A25" authorId="2" shapeId="0" xr:uid="{09652575-A62A-46EE-86B4-9B83675D6C67}">
      <text>
        <r>
          <rPr>
            <sz val="9"/>
            <color indexed="81"/>
            <rFont val="Tahoma"/>
            <family val="2"/>
          </rPr>
          <t>Om månadsvärden saknas kan helårsvärden matas in på denna rad.
Om helårsvärden matas in, så tar dessa över i rad 26 samt i sammanställningen i flik C1.</t>
        </r>
      </text>
    </comment>
    <comment ref="AC25" authorId="3" shapeId="0" xr:uid="{E3271B6C-BD3F-4B39-BC6D-DC42A439B24E}">
      <text>
        <r>
          <rPr>
            <sz val="9"/>
            <color indexed="81"/>
            <rFont val="Tahoma"/>
            <family val="2"/>
          </rPr>
          <t xml:space="preserve">Antagit 8 månaders uppvärmningssäsong för helåret.
</t>
        </r>
      </text>
    </comment>
    <comment ref="A39" authorId="3" shapeId="0" xr:uid="{C22A732B-D94A-4D70-9708-EF1A31A03697}">
      <text>
        <r>
          <rPr>
            <sz val="9"/>
            <color indexed="81"/>
            <rFont val="Tahoma"/>
            <family val="2"/>
          </rPr>
          <t xml:space="preserve">Om månadsvärden saknas kan helårsvärden matas in på denna rad.
</t>
        </r>
      </text>
    </comment>
    <comment ref="AC39" authorId="3" shapeId="0" xr:uid="{1614B3FD-8695-49C6-9536-100EE04B2BE1}">
      <text>
        <r>
          <rPr>
            <sz val="9"/>
            <color indexed="81"/>
            <rFont val="Tahoma"/>
            <family val="2"/>
          </rPr>
          <t>Antagit 8 månaders uppvärmningssäsong för helåret.</t>
        </r>
      </text>
    </comment>
    <comment ref="A53" authorId="3" shapeId="0" xr:uid="{A1E4B90E-712D-46CA-ACAD-4668E0738099}">
      <text>
        <r>
          <rPr>
            <sz val="9"/>
            <color indexed="81"/>
            <rFont val="Tahoma"/>
            <family val="2"/>
          </rPr>
          <t xml:space="preserve">Om månadsvärden saknas kan helårsvärden matas in på denna rad.
</t>
        </r>
      </text>
    </comment>
    <comment ref="AC53" authorId="3" shapeId="0" xr:uid="{09C261B0-21B5-45E6-843C-B5717C77CEF4}">
      <text>
        <r>
          <rPr>
            <sz val="9"/>
            <color indexed="81"/>
            <rFont val="Tahoma"/>
            <family val="2"/>
          </rPr>
          <t xml:space="preserve">Antagit 8 månaders uppvärmningssäsong för helåret.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D8" authorId="0" shapeId="0" xr:uid="{00000000-0006-0000-0400-000002000000}">
      <text>
        <r>
          <rPr>
            <sz val="9"/>
            <color indexed="81"/>
            <rFont val="Tahoma"/>
            <family val="2"/>
          </rPr>
          <t>Sveby/BENs brukarindata eller avsett (projekterat) brukande för lokalbyggnader.
Fyll i aktuella rader i denna kolumn.</t>
        </r>
      </text>
    </comment>
    <comment ref="E8" authorId="1" shapeId="0" xr:uid="{00000000-0006-0000-0400-000003000000}">
      <text>
        <r>
          <rPr>
            <sz val="9"/>
            <color indexed="81"/>
            <rFont val="Tahoma"/>
            <family val="2"/>
          </rPr>
          <t>Uppmätt indata, eller beräknat från uppmätt indata, i driftsatt byggnad.
Fyll i motsvarande rader som i kolumn D.
Värdena dokumenterar uppmätta brukarindata som använts i den upprepade energiberäkningen.</t>
        </r>
      </text>
    </comment>
    <comment ref="F8" authorId="0" shapeId="0" xr:uid="{00000000-0006-0000-0400-000004000000}">
      <text>
        <r>
          <rPr>
            <sz val="9"/>
            <color indexed="81"/>
            <rFont val="Tahoma"/>
            <family val="2"/>
          </rPr>
          <t xml:space="preserve">Skillnad mellan beräknade/projekterade och uppmätta indatavärden.
Avvikelserna är endast för dokumentation här.
</t>
        </r>
      </text>
    </comment>
    <comment ref="H8" authorId="2" shapeId="0" xr:uid="{BA033054-0F9F-4D19-935F-3BBE5F028BD5}">
      <text>
        <r>
          <rPr>
            <sz val="9"/>
            <color indexed="81"/>
            <rFont val="Tahoma"/>
            <family val="2"/>
          </rPr>
          <t xml:space="preserve">Vägledning till om avvikelsen behöver beaktas eller inte.
</t>
        </r>
      </text>
    </comment>
    <comment ref="H17" authorId="2" shapeId="0" xr:uid="{4CE7A134-9DB9-4BF9-ABD6-0CA21741FDD2}">
      <text>
        <r>
          <rPr>
            <sz val="9"/>
            <color indexed="81"/>
            <rFont val="Tahoma"/>
            <family val="2"/>
          </rPr>
          <t xml:space="preserve">Gäller påverkan på energiprestanda. Finns en formel för uträkning i BEN - gäller bara den stegvisa schablonkorrigeringen.
</t>
        </r>
      </text>
    </comment>
    <comment ref="D22" authorId="1" shapeId="0" xr:uid="{00000000-0006-0000-0400-000007000000}">
      <text>
        <r>
          <rPr>
            <sz val="9"/>
            <color indexed="81"/>
            <rFont val="Tahoma"/>
            <family val="2"/>
          </rPr>
          <t xml:space="preserve">Från fliken B1.  Resultat beräkning. 
Resultat från relationsenergiberäkning, baserat på Svebys/BENs brukarindata alternativt avsett (projekterat) brukande enligt BEN för lokalbyggnader.
</t>
        </r>
      </text>
    </comment>
    <comment ref="E22" authorId="0" shapeId="0" xr:uid="{00000000-0006-0000-0400-000008000000}">
      <text>
        <r>
          <rPr>
            <sz val="9"/>
            <color indexed="81"/>
            <rFont val="Tahoma"/>
            <family val="2"/>
          </rPr>
          <t>Fyll i beräknat resultat vid upprepad energiberäkning, baserat på uppmätta indata enligt ovan och med klimatdata från år 1.
De rader som innehåller data för kolumn D, behöver även fyllas i för kolumn E.</t>
        </r>
      </text>
    </comment>
    <comment ref="F22" authorId="0" shapeId="0" xr:uid="{00000000-0006-0000-0400-000009000000}">
      <text>
        <r>
          <rPr>
            <sz val="9"/>
            <color indexed="81"/>
            <rFont val="Tahoma"/>
            <family val="2"/>
          </rPr>
          <t xml:space="preserve">Kvoten mellan "Beräknat för år 1" och "Beräknat enl relationshandling".
</t>
        </r>
      </text>
    </comment>
    <comment ref="D36" authorId="0" shapeId="0" xr:uid="{00000000-0006-0000-0400-00000B000000}">
      <text>
        <r>
          <rPr>
            <sz val="9"/>
            <color indexed="81"/>
            <rFont val="Tahoma"/>
            <family val="2"/>
          </rPr>
          <t>Sveby/BENs brukarindata eller avsett (projekterat) brukande för lokalbyggnader.
Fyll i aktuella rader i denna kolumn.</t>
        </r>
      </text>
    </comment>
    <comment ref="E36" authorId="1" shapeId="0" xr:uid="{00000000-0006-0000-0400-00000C000000}">
      <text>
        <r>
          <rPr>
            <sz val="9"/>
            <color indexed="81"/>
            <rFont val="Tahoma"/>
            <family val="2"/>
          </rPr>
          <t>Uppmätt indata, eller beräknat från uppmätt indata, i driftsatt byggnad.
Fyll i motsvarande rader som i kolumn D.</t>
        </r>
      </text>
    </comment>
    <comment ref="F36" authorId="0" shapeId="0" xr:uid="{00000000-0006-0000-0400-00000D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36" authorId="1" shapeId="0" xr:uid="{00000000-0006-0000-0400-00000E000000}">
      <text>
        <r>
          <rPr>
            <sz val="9"/>
            <color indexed="81"/>
            <rFont val="Tahoma"/>
            <family val="2"/>
          </rPr>
          <t xml:space="preserve">Vägledning till om avvikelsen behöver beaktas eller inte.
</t>
        </r>
      </text>
    </comment>
    <comment ref="H45" authorId="2" shapeId="0" xr:uid="{9994B8BF-890E-487B-826F-228104AA62F1}">
      <text>
        <r>
          <rPr>
            <sz val="9"/>
            <color indexed="81"/>
            <rFont val="Tahoma"/>
            <family val="2"/>
          </rPr>
          <t xml:space="preserve">Gäller påverkan på energiprestanda. Finns en formel för uträkning i BEN - gäller bara den stegvisa schablonkorrigeringen.
</t>
        </r>
      </text>
    </comment>
    <comment ref="D50" authorId="1" shapeId="0" xr:uid="{00000000-0006-0000-0400-000010000000}">
      <text>
        <r>
          <rPr>
            <sz val="9"/>
            <color indexed="81"/>
            <rFont val="Tahoma"/>
            <family val="2"/>
          </rPr>
          <t xml:space="preserve">Beräknat resultat från relationsenergiberäkning, baserat på Svebys/BENs brukarindata alternativt avsett (projekterat) brukande enligt BEN för lokalbyggnader.
</t>
        </r>
      </text>
    </comment>
    <comment ref="E50" authorId="0" shapeId="0" xr:uid="{00000000-0006-0000-0400-000011000000}">
      <text>
        <r>
          <rPr>
            <sz val="9"/>
            <color indexed="81"/>
            <rFont val="Tahoma"/>
            <family val="2"/>
          </rPr>
          <t>Beräknat resultat vid upprepad energiberäkning, baserat på uppmätta indata enligt ovan och med klimatdata från år 2
De rader som innehåller data för kolumn D, behöver även fyllas i för kolumn E.</t>
        </r>
      </text>
    </comment>
    <comment ref="F50" authorId="0" shapeId="0" xr:uid="{00000000-0006-0000-0400-000012000000}">
      <text>
        <r>
          <rPr>
            <sz val="9"/>
            <color indexed="81"/>
            <rFont val="Tahoma"/>
            <family val="2"/>
          </rPr>
          <t>Kvoten mellan "Beräknat för år 2" och "Beräknat enl relationshandling".</t>
        </r>
      </text>
    </comment>
    <comment ref="D64" authorId="0" shapeId="0" xr:uid="{00000000-0006-0000-0400-000014000000}">
      <text>
        <r>
          <rPr>
            <sz val="9"/>
            <color indexed="81"/>
            <rFont val="Tahoma"/>
            <family val="2"/>
          </rPr>
          <t>Sveby/BENs brukarindata eller avsett (projekterat) brukande för lokalbyggnader.
Fyll i aktuella rader i denna kolumn.</t>
        </r>
      </text>
    </comment>
    <comment ref="E64" authorId="1" shapeId="0" xr:uid="{00000000-0006-0000-0400-000015000000}">
      <text>
        <r>
          <rPr>
            <sz val="9"/>
            <color indexed="81"/>
            <rFont val="Tahoma"/>
            <family val="2"/>
          </rPr>
          <t>Uppmätt indata, eller beräknat från uppmätt indata, i driftsatt byggnad.
Fyll i motsvarande rader som i kolumn D.</t>
        </r>
      </text>
    </comment>
    <comment ref="F64" authorId="0" shapeId="0" xr:uid="{00000000-0006-0000-0400-000016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64" authorId="1" shapeId="0" xr:uid="{00000000-0006-0000-0400-000017000000}">
      <text>
        <r>
          <rPr>
            <sz val="9"/>
            <color indexed="81"/>
            <rFont val="Tahoma"/>
            <family val="2"/>
          </rPr>
          <t xml:space="preserve">Vägledning till om avvikelsen behöver beaktas eller inte.
</t>
        </r>
      </text>
    </comment>
    <comment ref="H73" authorId="2" shapeId="0" xr:uid="{077F9669-0693-4F05-A4A9-6A9013C53BC4}">
      <text>
        <r>
          <rPr>
            <sz val="9"/>
            <color indexed="81"/>
            <rFont val="Tahoma"/>
            <family val="2"/>
          </rPr>
          <t xml:space="preserve">Gäller påverkan på energiprestanda. Finns en formel för uträkning i BEN - gäller bara den stegvisa schablonkorrigeringen.
</t>
        </r>
      </text>
    </comment>
    <comment ref="D78" authorId="1" shapeId="0" xr:uid="{00000000-0006-0000-0400-000019000000}">
      <text>
        <r>
          <rPr>
            <sz val="9"/>
            <color indexed="81"/>
            <rFont val="Tahoma"/>
            <family val="2"/>
          </rPr>
          <t>Beräknat resultat från relationsenergiberäkning, baserat på Svebys/BENs brukarindata alternativt avsett (projekterat) brukande enligt BEN för lokalbyggnader.</t>
        </r>
      </text>
    </comment>
    <comment ref="E78" authorId="0" shapeId="0" xr:uid="{00000000-0006-0000-0400-00001A000000}">
      <text>
        <r>
          <rPr>
            <sz val="9"/>
            <color indexed="81"/>
            <rFont val="Tahoma"/>
            <family val="2"/>
          </rPr>
          <t>Beräknat resultat vid upprepad energiberäkning, baserat på uppmätta indata enligt ovan och med klimatdata från år 3
De rader som innehåller data för kolumn D, behöver även fyllas i för kolumn E.</t>
        </r>
      </text>
    </comment>
    <comment ref="F78" authorId="0" shapeId="0" xr:uid="{00000000-0006-0000-0400-00001B000000}">
      <text>
        <r>
          <rPr>
            <sz val="9"/>
            <color indexed="81"/>
            <rFont val="Tahoma"/>
            <family val="2"/>
          </rPr>
          <t>Kvoten mellan "Beräknat för år 3" och "Beräknat enl relationshandling".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27" authorId="0" shapeId="0" xr:uid="{00000000-0006-0000-0800-000001000000}">
      <text>
        <r>
          <rPr>
            <sz val="9"/>
            <color indexed="81"/>
            <rFont val="Tahoma"/>
            <family val="2"/>
          </rPr>
          <t xml:space="preserve">Den faktor som det avlästa värdet ska multipliceras med för att erhålla den angivna mätenheten.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<sst xmlns="http://schemas.openxmlformats.org/spreadsheetml/2006/main" count="1656" uniqueCount="988">
  <si>
    <r>
      <t>Detta formulär</t>
    </r>
    <r>
      <rPr>
        <sz val="10"/>
        <color rgb="FF000000"/>
        <rFont val="Franklin Gothic Book"/>
        <family val="2"/>
      </rPr>
      <t> är tänkt som ett sammanställt gransknings-, uppföljnings- och verifieringsunderlag att fyllas i av byggherren med hjälp av de som utför energiberäkning, projektering och mätning, ingå i kontrollplanen och bifogas vid redovisning inför startbesked, eller i ett något senare skede. Formuläret uppdateras inför genomgång inför slutbesked med de ändringar som skett under processens gång. Det är även ett underlag för verifiering av energikraven i energideklarationen, genom mätning eller beräkning.</t>
    </r>
  </si>
  <si>
    <t>Sammanfattning energikrav och kravuppfyllelse</t>
  </si>
  <si>
    <t>Projektspecifika anteckningar</t>
  </si>
  <si>
    <t>Byggnads- och fastighetsbeteckning</t>
  </si>
  <si>
    <t>Byggnadskategori (-er)</t>
  </si>
  <si>
    <t>Kommun</t>
  </si>
  <si>
    <t>BBR-version</t>
  </si>
  <si>
    <t>BBR-krav</t>
  </si>
  <si>
    <t>BBR-kravuppfyllelse</t>
  </si>
  <si>
    <t>Inför startbesked</t>
  </si>
  <si>
    <t>Inför slutbesked</t>
  </si>
  <si>
    <t>Verifierat genom mätning</t>
  </si>
  <si>
    <r>
      <t>Primärenergital, EP</t>
    </r>
    <r>
      <rPr>
        <vertAlign val="subscript"/>
        <sz val="10"/>
        <color theme="1"/>
        <rFont val="Franklin Gothic Demi"/>
        <family val="2"/>
      </rPr>
      <t xml:space="preserve">PET  </t>
    </r>
    <r>
      <rPr>
        <sz val="10"/>
        <color theme="1"/>
        <rFont val="Franklin Gothic Demi"/>
        <family val="2"/>
      </rPr>
      <t>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</si>
  <si>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Energiklass</t>
  </si>
  <si>
    <t>C</t>
  </si>
  <si>
    <r>
      <t>Max installerad eleffekt för uppvärmning (W/m</t>
    </r>
    <r>
      <rPr>
        <vertAlign val="superscript"/>
        <sz val="10"/>
        <color theme="1"/>
        <rFont val="Franklin Gothic Demi"/>
        <family val="2"/>
      </rPr>
      <t>2</t>
    </r>
    <r>
      <rPr>
        <sz val="10"/>
        <color theme="1"/>
        <rFont val="Franklin Gothic Demi"/>
        <family val="2"/>
      </rPr>
      <t>)</t>
    </r>
  </si>
  <si>
    <r>
      <t>U</t>
    </r>
    <r>
      <rPr>
        <vertAlign val="subscript"/>
        <sz val="10"/>
        <color theme="1"/>
        <rFont val="Franklin Gothic Demi"/>
        <family val="2"/>
      </rPr>
      <t>m</t>
    </r>
    <r>
      <rPr>
        <sz val="10"/>
        <color theme="1"/>
        <rFont val="Franklin Gothic Demi"/>
        <family val="2"/>
      </rPr>
      <t>, W/m</t>
    </r>
    <r>
      <rPr>
        <vertAlign val="superscript"/>
        <sz val="10"/>
        <color theme="1"/>
        <rFont val="Franklin Gothic Demi"/>
        <family val="2"/>
      </rPr>
      <t>2</t>
    </r>
    <r>
      <rPr>
        <sz val="10"/>
        <color theme="1"/>
        <rFont val="Franklin Gothic Demi"/>
        <family val="2"/>
      </rPr>
      <t>K</t>
    </r>
  </si>
  <si>
    <t>     </t>
  </si>
  <si>
    <r>
      <t>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8"/>
        <color theme="1"/>
        <rFont val="Franklin Gothic Demi"/>
        <family val="2"/>
      </rPr>
      <t> </t>
    </r>
  </si>
  <si>
    <t>Upphandlingsmyndighetens (UHMs) frivilliga tilläggskrav</t>
  </si>
  <si>
    <t>UHM-krav</t>
  </si>
  <si>
    <t>UHM-kravuppfyllelse</t>
  </si>
  <si>
    <t>Inför byggstart</t>
  </si>
  <si>
    <r>
      <t>Nettovärmeenergi (UHM 1A), kWh/m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</si>
  <si>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Energianvändning (UHM 1B), W/m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</si>
  <si>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Värmeförlusttal (VFT), W/m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</si>
  <si>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Redovisning Energiavtal 21</t>
  </si>
  <si>
    <t>Mätperiod (12 månader):</t>
  </si>
  <si>
    <t>Avtalat energikrav, primärenergital</t>
  </si>
  <si>
    <r>
      <t xml:space="preserve"> kWh/m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</si>
  <si>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Avtalat energivite, Energiavtal 21</t>
  </si>
  <si>
    <t xml:space="preserve"> SEK/kWh</t>
  </si>
  <si>
    <t>Energiprestanda som specifik energianvändning</t>
  </si>
  <si>
    <t>Energiprestanda som primärenergital</t>
  </si>
  <si>
    <t>Avvikelse</t>
  </si>
  <si>
    <t>Summa energivite</t>
  </si>
  <si>
    <t xml:space="preserve"> SEK</t>
  </si>
  <si>
    <t>Byggherre / Beställare</t>
  </si>
  <si>
    <t>Entreprenör</t>
  </si>
  <si>
    <t>Kontaktperson</t>
  </si>
  <si>
    <t>Adress</t>
  </si>
  <si>
    <t>E-post, tel.</t>
  </si>
  <si>
    <t>Ort och datum</t>
  </si>
  <si>
    <t>Underskrift</t>
  </si>
  <si>
    <t>Namnförtydligande</t>
  </si>
  <si>
    <t>Bilagor:</t>
  </si>
  <si>
    <t>Energihjälpen – Formulär för granskning och verifiering av energiprestanda för byggnader</t>
  </si>
  <si>
    <t>Byggnadsinfo och BBR-underlag</t>
  </si>
  <si>
    <t>Byggnaden - Identifikation och egenskaper</t>
  </si>
  <si>
    <t>Sammanställning installationer och mätning</t>
  </si>
  <si>
    <t>Välj kommun (även för Fgeo)</t>
  </si>
  <si>
    <t>Göteborg</t>
  </si>
  <si>
    <t>Värmesystem:</t>
  </si>
  <si>
    <t>Fastighetsägare</t>
  </si>
  <si>
    <t>Välj bränsle 1</t>
  </si>
  <si>
    <t>Välj bränsle 2</t>
  </si>
  <si>
    <t>Fastighetsbeteckning</t>
  </si>
  <si>
    <t>Välj typ av VP</t>
  </si>
  <si>
    <t>Berg</t>
  </si>
  <si>
    <t>Egen beteckning</t>
  </si>
  <si>
    <r>
      <t>m</t>
    </r>
    <r>
      <rPr>
        <vertAlign val="superscript"/>
        <sz val="10"/>
        <color indexed="8"/>
        <rFont val="Franklin Gothic Book"/>
        <family val="2"/>
      </rPr>
      <t>2</t>
    </r>
  </si>
  <si>
    <r>
      <t>Byggnads-ID / UUID</t>
    </r>
    <r>
      <rPr>
        <sz val="8"/>
        <color theme="1"/>
        <rFont val="Franklin Gothic Book"/>
        <family val="2"/>
      </rPr>
      <t> </t>
    </r>
  </si>
  <si>
    <t>Övrig värme:</t>
  </si>
  <si>
    <t>Huvudadress och postnummer</t>
  </si>
  <si>
    <t>Adress och postnummer</t>
  </si>
  <si>
    <t>Välj byggnadskategori</t>
  </si>
  <si>
    <t>Byggnadens komplexitet, välj</t>
  </si>
  <si>
    <t>Tappvarmvatten:</t>
  </si>
  <si>
    <t>Välj byggnadstyp</t>
  </si>
  <si>
    <t>Nybyggnadsår</t>
  </si>
  <si>
    <r>
      <t>A</t>
    </r>
    <r>
      <rPr>
        <vertAlign val="subscript"/>
        <sz val="10"/>
        <color theme="1"/>
        <rFont val="Franklin Gothic Book"/>
        <family val="2"/>
      </rPr>
      <t>varmgarage</t>
    </r>
  </si>
  <si>
    <r>
      <t>m</t>
    </r>
    <r>
      <rPr>
        <vertAlign val="superscript"/>
        <sz val="11"/>
        <color theme="1"/>
        <rFont val="Calibri"/>
        <family val="2"/>
        <scheme val="minor"/>
      </rPr>
      <t>2</t>
    </r>
  </si>
  <si>
    <r>
      <t>A</t>
    </r>
    <r>
      <rPr>
        <vertAlign val="subscript"/>
        <sz val="10"/>
        <color theme="1"/>
        <rFont val="Franklin Gothic Book"/>
        <family val="2"/>
      </rPr>
      <t>kallgarage</t>
    </r>
  </si>
  <si>
    <t>Antal våningsplan ovan mark</t>
  </si>
  <si>
    <t>Kylsystem:</t>
  </si>
  <si>
    <t>Antal källarplan</t>
  </si>
  <si>
    <t>Antal trapphus</t>
  </si>
  <si>
    <t>Antal lägenheter</t>
  </si>
  <si>
    <t>Elsystem:</t>
  </si>
  <si>
    <t>Installerad eleffekt för komfortkyla, kW</t>
  </si>
  <si>
    <t>Ventilation:</t>
  </si>
  <si>
    <r>
      <t>Inst.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</si>
  <si>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Elvärmd byggnad, J/N</t>
  </si>
  <si>
    <t>Energiverkningsgrad</t>
  </si>
  <si>
    <t>%</t>
  </si>
  <si>
    <t>Byggnaden – Verksamheter och areor</t>
  </si>
  <si>
    <r>
      <t>Ange m</t>
    </r>
    <r>
      <rPr>
        <vertAlign val="superscript"/>
        <sz val="11"/>
        <color theme="1"/>
        <rFont val="Franklin Gothic Demi"/>
        <family val="2"/>
      </rPr>
      <t>2</t>
    </r>
    <r>
      <rPr>
        <sz val="11"/>
        <color theme="1"/>
        <rFont val="Franklin Gothic Demi"/>
        <family val="2"/>
      </rPr>
      <t xml:space="preserve"> A</t>
    </r>
    <r>
      <rPr>
        <vertAlign val="subscript"/>
        <sz val="11"/>
        <color theme="1"/>
        <rFont val="Franklin Gothic Demi"/>
        <family val="2"/>
      </rPr>
      <t>temp</t>
    </r>
  </si>
  <si>
    <t>Vid startbesked</t>
  </si>
  <si>
    <t>Vid slutbesked</t>
  </si>
  <si>
    <t>Bostäder (inkl. biarea, t.ex. trapphus och uppvärmd källare)</t>
  </si>
  <si>
    <t>C2. Mätplan</t>
  </si>
  <si>
    <t>Hotell, pensionat och elevhem</t>
  </si>
  <si>
    <r>
      <t xml:space="preserve">Följande mätpunkter installeras och kommer att kunna följas upp </t>
    </r>
    <r>
      <rPr>
        <sz val="10"/>
        <color theme="1"/>
        <rFont val="Franklin Gothic Demi"/>
        <family val="2"/>
      </rPr>
      <t xml:space="preserve">per byggnad. </t>
    </r>
    <r>
      <rPr>
        <sz val="10"/>
        <color theme="1"/>
        <rFont val="Franklin Gothic Book"/>
        <family val="2"/>
      </rPr>
      <t xml:space="preserve">Sätt </t>
    </r>
    <r>
      <rPr>
        <sz val="10"/>
        <color theme="1"/>
        <rFont val="Franklin Gothic Demi"/>
        <family val="2"/>
      </rPr>
      <t>kryss</t>
    </r>
    <r>
      <rPr>
        <sz val="10"/>
        <color theme="1"/>
        <rFont val="Franklin Gothic Book"/>
        <family val="2"/>
      </rPr>
      <t xml:space="preserve"> för de mätare som ingår (alla energibärare ska mätas).</t>
    </r>
  </si>
  <si>
    <t>Restaurang</t>
  </si>
  <si>
    <t xml:space="preserve">                              Energibärare</t>
  </si>
  <si>
    <t>Fjärrvärme</t>
  </si>
  <si>
    <t>El, direkt</t>
  </si>
  <si>
    <t>El, värmepump</t>
  </si>
  <si>
    <t>El, kylmaskin</t>
  </si>
  <si>
    <t>Fjärrkyla</t>
  </si>
  <si>
    <t>Bio-bränsle</t>
  </si>
  <si>
    <t>Olja och gas</t>
  </si>
  <si>
    <t>Anm.</t>
  </si>
  <si>
    <t>Kontor och förvaltning</t>
  </si>
  <si>
    <t>Energipost</t>
  </si>
  <si>
    <t>Butiks- och lagerlokaler för livsmedelshandel</t>
  </si>
  <si>
    <t>Debiteringsmätare</t>
  </si>
  <si>
    <t>Butiks- och lagerlokaler för övrig handel</t>
  </si>
  <si>
    <t>Verifieringsmätare:</t>
  </si>
  <si>
    <t>Köpcentrum</t>
  </si>
  <si>
    <r>
      <t>Uppvärmning</t>
    </r>
    <r>
      <rPr>
        <sz val="10"/>
        <color rgb="FFFF0000"/>
        <rFont val="Franklin Gothic Book"/>
        <family val="2"/>
      </rPr>
      <t xml:space="preserve"> </t>
    </r>
    <r>
      <rPr>
        <sz val="10"/>
        <color theme="1"/>
        <rFont val="Franklin Gothic Book"/>
        <family val="2"/>
      </rPr>
      <t> exkl. tappvarmvatten och VVC</t>
    </r>
  </si>
  <si>
    <t>Vård, dygnet runt</t>
  </si>
  <si>
    <t xml:space="preserve">Tappvarmvatten </t>
  </si>
  <si>
    <t>Vård, dagtid (samt serviceboende, frisersalong o. dyl)</t>
  </si>
  <si>
    <t>VVC-förluster</t>
  </si>
  <si>
    <t>Skolor (förskola-universitet)</t>
  </si>
  <si>
    <t>Övriga kulvertförluster</t>
  </si>
  <si>
    <t>Bad-, sport-, idrottsanläggningar (ej utomhusarenor)</t>
  </si>
  <si>
    <t>Komfortkyla</t>
  </si>
  <si>
    <t>Teater-, konsert-, biograflokaler och övriga samlingslokaler</t>
  </si>
  <si>
    <t>Fastighetsenergi</t>
  </si>
  <si>
    <t>Utveckling?</t>
  </si>
  <si>
    <t>Övrig verksamhet i lokaler</t>
  </si>
  <si>
    <t xml:space="preserve">Avloppsvärmeväxlare  </t>
  </si>
  <si>
    <r>
      <t> </t>
    </r>
    <r>
      <rPr>
        <sz val="10"/>
        <color rgb="FFFF0000"/>
        <rFont val="Franklin Gothic Book"/>
        <family val="2"/>
      </rPr>
      <t>Eventuellt tillägg med kulvertförluster vid flera byggnader på en fastighet</t>
    </r>
  </si>
  <si>
    <r>
      <t>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</si>
  <si>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Solfångare</t>
  </si>
  <si>
    <t>Varav andel lokaler</t>
  </si>
  <si>
    <t>Solceller </t>
  </si>
  <si>
    <r>
      <t> </t>
    </r>
    <r>
      <rPr>
        <sz val="10"/>
        <color rgb="FFFF0000"/>
        <rFont val="Franklin Gothic Book"/>
        <family val="2"/>
      </rPr>
      <t>Beskriv hur ev. kulvertförluster ska hanteras.</t>
    </r>
  </si>
  <si>
    <t>Varav andel bostäder</t>
  </si>
  <si>
    <t>Verksamhetsenergi</t>
  </si>
  <si>
    <r>
      <t> </t>
    </r>
    <r>
      <rPr>
        <sz val="10"/>
        <color rgb="FFFF0000"/>
        <rFont val="Franklin Gothic Book"/>
        <family val="2"/>
      </rPr>
      <t>Skilja på värme till aggregat och radiatorer?</t>
    </r>
  </si>
  <si>
    <t>Hushållsenergi</t>
  </si>
  <si>
    <r>
      <t> </t>
    </r>
    <r>
      <rPr>
        <sz val="10"/>
        <color rgb="FFFF0000"/>
        <rFont val="Franklin Gothic Book"/>
        <family val="2"/>
      </rPr>
      <t>Lägga till tidsupplösning, automatisering m.m.</t>
    </r>
  </si>
  <si>
    <t>Inomhustemperatur för ev. normalisering</t>
  </si>
  <si>
    <t>Bekräfta mätplan i verifieringen.</t>
  </si>
  <si>
    <t>Underlag till energikrav enligt BBR</t>
  </si>
  <si>
    <t>Kommentar:</t>
  </si>
  <si>
    <t>Anm. Nätägaren för el behöver medvetandegöras om BEN, för att möjliggöra mätning av summa hushålls- och verksamhetsel per byggnad.</t>
  </si>
  <si>
    <t>Kontrollfrågor:</t>
  </si>
  <si>
    <t>Välj BBR-version</t>
  </si>
  <si>
    <t>Är energimätningen av byggnaden avgränsad enligt BBR? (Så byggnaden och dess fastighetsenergi kan skiljas från verksamhetsenergi, Dvs. ev. utvändig el, motorvärmare, billaddare, tvättstugor mm mäts av)</t>
  </si>
  <si>
    <t>Fgeo</t>
  </si>
  <si>
    <t>Är verksamhets- och hushållsenergi skild från fastighetsenergi?</t>
  </si>
  <si>
    <t>Atemp lokal</t>
  </si>
  <si>
    <r>
      <t>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</si>
  <si>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t>Atemp bostad</t>
  </si>
  <si>
    <t>Beräkningshjälp för personbaserat genomsnittligt hygieniskt luftflöde</t>
  </si>
  <si>
    <r>
      <t xml:space="preserve">Andel Atemp med lgh </t>
    </r>
    <r>
      <rPr>
        <sz val="10"/>
        <rFont val="Calibri"/>
        <family val="2"/>
      </rPr>
      <t>≤</t>
    </r>
    <r>
      <rPr>
        <sz val="10"/>
        <rFont val="Franklin Gothic Book"/>
        <family val="2"/>
      </rPr>
      <t xml:space="preserve"> 35 m</t>
    </r>
    <r>
      <rPr>
        <vertAlign val="superscript"/>
        <sz val="10"/>
        <rFont val="Franklin Gothic Book"/>
        <family val="2"/>
      </rPr>
      <t>2</t>
    </r>
    <r>
      <rPr>
        <sz val="10"/>
        <rFont val="Franklin Gothic Book"/>
        <family val="2"/>
      </rPr>
      <t xml:space="preserve"> boyta</t>
    </r>
  </si>
  <si>
    <t>i lokaler (underlag för ventilationstillägg):</t>
  </si>
  <si>
    <r>
      <t>Hygieniskt genomsnittligt ventilationsflöde, q</t>
    </r>
    <r>
      <rPr>
        <vertAlign val="subscript"/>
        <sz val="11"/>
        <color theme="1"/>
        <rFont val="Franklin Gothic Book"/>
        <family val="2"/>
      </rPr>
      <t>m</t>
    </r>
  </si>
  <si>
    <r>
      <t>l/sm</t>
    </r>
    <r>
      <rPr>
        <vertAlign val="superscript"/>
        <sz val="10"/>
        <color theme="1"/>
        <rFont val="Franklin Gothic Book"/>
        <family val="2"/>
      </rPr>
      <t>2</t>
    </r>
  </si>
  <si>
    <r>
      <rPr>
        <sz val="10"/>
        <color theme="1"/>
        <rFont val="Franklin Gothic Book"/>
        <family val="2"/>
      </rPr>
      <t>m</t>
    </r>
    <r>
      <rPr>
        <vertAlign val="superscript"/>
        <sz val="10"/>
        <color theme="1"/>
        <rFont val="Franklin Gothic Book"/>
        <family val="2"/>
      </rPr>
      <t>2</t>
    </r>
    <r>
      <rPr>
        <sz val="10"/>
        <color theme="1"/>
        <rFont val="Franklin Gothic Book"/>
        <family val="2"/>
      </rPr>
      <t xml:space="preserve"> lokal</t>
    </r>
  </si>
  <si>
    <t>Primärenergital:</t>
  </si>
  <si>
    <t>Antal personer (för uteluftflödet)</t>
  </si>
  <si>
    <t>st</t>
  </si>
  <si>
    <t>BBR-krav lokal</t>
  </si>
  <si>
    <r>
      <t>kWh/m</t>
    </r>
    <r>
      <rPr>
        <vertAlign val="superscript"/>
        <sz val="10"/>
        <rFont val="Franklin Gothic Book"/>
        <family val="2"/>
      </rPr>
      <t>2</t>
    </r>
    <r>
      <rPr>
        <sz val="10"/>
        <rFont val="Franklin Gothic Book"/>
        <family val="2"/>
      </rPr>
      <t>A</t>
    </r>
    <r>
      <rPr>
        <vertAlign val="subscript"/>
        <sz val="10"/>
        <rFont val="Franklin Gothic Book"/>
        <family val="2"/>
      </rPr>
      <t>temp</t>
    </r>
  </si>
  <si>
    <t>Hygieniskt minimiuteluftflöde</t>
  </si>
  <si>
    <r>
      <t>l/s,m</t>
    </r>
    <r>
      <rPr>
        <vertAlign val="superscript"/>
        <sz val="10"/>
        <rFont val="Franklin Gothic Book"/>
        <family val="2"/>
      </rPr>
      <t>2</t>
    </r>
    <r>
      <rPr>
        <sz val="10"/>
        <rFont val="Franklin Gothic Book"/>
        <family val="2"/>
      </rPr>
      <t>A</t>
    </r>
    <r>
      <rPr>
        <vertAlign val="subscript"/>
        <sz val="10"/>
        <rFont val="Franklin Gothic Book"/>
        <family val="2"/>
      </rPr>
      <t>temp</t>
    </r>
  </si>
  <si>
    <t>BBR-krav flerbostadshus</t>
  </si>
  <si>
    <t>Uteluftsflöde vid närvaro</t>
  </si>
  <si>
    <t>Viktat BBR-krav</t>
  </si>
  <si>
    <t>Ventilationens drifttid en vecka</t>
  </si>
  <si>
    <t>timmar</t>
  </si>
  <si>
    <r>
      <rPr>
        <sz val="10"/>
        <color theme="1"/>
        <rFont val="Franklin Gothic Demi"/>
        <family val="2"/>
      </rPr>
      <t>U</t>
    </r>
    <r>
      <rPr>
        <vertAlign val="subscript"/>
        <sz val="10"/>
        <color theme="1"/>
        <rFont val="Franklin Gothic Demi"/>
        <family val="2"/>
      </rPr>
      <t>m</t>
    </r>
    <r>
      <rPr>
        <sz val="10"/>
        <color theme="1"/>
        <rFont val="Franklin Gothic Demi"/>
        <family val="2"/>
      </rPr>
      <t>:</t>
    </r>
  </si>
  <si>
    <t>Uteluftsflöde utanför närvarotid</t>
  </si>
  <si>
    <r>
      <t>W/m</t>
    </r>
    <r>
      <rPr>
        <vertAlign val="superscript"/>
        <sz val="10"/>
        <rFont val="Franklin Gothic Book"/>
        <family val="2"/>
      </rPr>
      <t>2</t>
    </r>
    <r>
      <rPr>
        <sz val="10"/>
        <rFont val="Franklin Gothic Book"/>
        <family val="2"/>
      </rPr>
      <t>K</t>
    </r>
  </si>
  <si>
    <r>
      <t>Genomsnittligt hygieniskt uteluftsflöde, q</t>
    </r>
    <r>
      <rPr>
        <vertAlign val="subscript"/>
        <sz val="10"/>
        <rFont val="Franklin Gothic Book"/>
        <family val="2"/>
      </rPr>
      <t>m</t>
    </r>
  </si>
  <si>
    <t>Baskrav</t>
  </si>
  <si>
    <t>Tillägg</t>
  </si>
  <si>
    <t>Uträkning av BBR-krav för olika byggnadskategorier och storlekar</t>
  </si>
  <si>
    <r>
      <t>Småhus &gt;50-90 m</t>
    </r>
    <r>
      <rPr>
        <vertAlign val="superscript"/>
        <sz val="10"/>
        <rFont val="Franklin Gothic Book"/>
        <family val="2"/>
      </rPr>
      <t>2</t>
    </r>
  </si>
  <si>
    <r>
      <t>Småhus &gt;90-130 m</t>
    </r>
    <r>
      <rPr>
        <vertAlign val="superscript"/>
        <sz val="10"/>
        <rFont val="Franklin Gothic Book"/>
        <family val="2"/>
      </rPr>
      <t>2</t>
    </r>
  </si>
  <si>
    <r>
      <t>Småhus &gt;130 m</t>
    </r>
    <r>
      <rPr>
        <vertAlign val="superscript"/>
        <sz val="10"/>
        <color theme="1"/>
        <rFont val="Franklin Gothic Book"/>
        <family val="2"/>
      </rPr>
      <t>2</t>
    </r>
  </si>
  <si>
    <r>
      <t>Flerbos-tadshus &gt;50 m</t>
    </r>
    <r>
      <rPr>
        <vertAlign val="superscript"/>
        <sz val="10"/>
        <rFont val="Franklin Gothic Book"/>
        <family val="2"/>
      </rPr>
      <t>2</t>
    </r>
  </si>
  <si>
    <r>
      <t>Lokaler &gt;50 m</t>
    </r>
    <r>
      <rPr>
        <vertAlign val="superscript"/>
        <sz val="10"/>
        <rFont val="Franklin Gothic Book"/>
        <family val="2"/>
      </rPr>
      <t>2</t>
    </r>
  </si>
  <si>
    <r>
      <t>Småhus &gt;50 m</t>
    </r>
    <r>
      <rPr>
        <vertAlign val="superscript"/>
        <sz val="10"/>
        <rFont val="Franklin Gothic Book"/>
        <family val="2"/>
      </rPr>
      <t>2</t>
    </r>
  </si>
  <si>
    <t>BBR 29, Energiprestanda</t>
  </si>
  <si>
    <t>BBR 25, Energiprestanda</t>
  </si>
  <si>
    <t>BBR 29, Installerad eleffekt</t>
  </si>
  <si>
    <t>kW</t>
  </si>
  <si>
    <t>BBR 25. Installerad eleffekt</t>
  </si>
  <si>
    <r>
      <t>BBR 29, U</t>
    </r>
    <r>
      <rPr>
        <vertAlign val="subscript"/>
        <sz val="10"/>
        <color theme="3"/>
        <rFont val="Franklin Gothic Book"/>
        <family val="2"/>
      </rPr>
      <t>m</t>
    </r>
  </si>
  <si>
    <r>
      <t>W/m</t>
    </r>
    <r>
      <rPr>
        <vertAlign val="superscript"/>
        <sz val="10"/>
        <color theme="1"/>
        <rFont val="Franklin Gothic Book"/>
        <family val="2"/>
      </rPr>
      <t>2</t>
    </r>
    <r>
      <rPr>
        <sz val="10"/>
        <color theme="1"/>
        <rFont val="Franklin Gothic Book"/>
        <family val="2"/>
      </rPr>
      <t>K</t>
    </r>
  </si>
  <si>
    <r>
      <t>BBR 25, U</t>
    </r>
    <r>
      <rPr>
        <vertAlign val="subscript"/>
        <sz val="10"/>
        <color theme="6" tint="-0.499984740745262"/>
        <rFont val="Franklin Gothic Book"/>
        <family val="2"/>
      </rPr>
      <t>m</t>
    </r>
  </si>
  <si>
    <t>Energikrav enligt BBR 29:</t>
  </si>
  <si>
    <t>Energikrav enligt BBR 25:</t>
  </si>
  <si>
    <t xml:space="preserve">1) Tillägg får göras med (0,025 + 0,02 x (Fgeo -1)) x (Atemp – 130) då Atemp är större än 130 m2. </t>
  </si>
  <si>
    <t xml:space="preserve">1) Tillägg får göras med (0,025 + 0,02(Fgeo -1)) x (Atemp – 130) då Atemp är större än 130 m2. Om </t>
  </si>
  <si>
    <t xml:space="preserve">Om den geografiska justeringsfaktorn Fgeo är mindre än 1,0 sätts den till 1,0 vid beräkning av </t>
  </si>
  <si>
    <t xml:space="preserve">den geografiska justeringsfaktorn Fgeo är mindre än 1,0 sätts den till 1,0 vid beräkning av </t>
  </si>
  <si>
    <t xml:space="preserve">installerad eleffekt. </t>
  </si>
  <si>
    <t xml:space="preserve">2) Tillägg får göras med 40 x (qmedel – 0,35) då uteluftsflödet i temperaturreglerade utrymmen av </t>
  </si>
  <si>
    <t xml:space="preserve">2) Tillägg får göras med 70 x (qmedel – 0,35) då uteluftsflödet i temperaturreglerade utrymmen av </t>
  </si>
  <si>
    <t xml:space="preserve">utökade hygieniska skäl är större än 0,35 l/s per m2, där qmedel är det genomsnittliga specifika </t>
  </si>
  <si>
    <t xml:space="preserve">uteluftsflödet under uppvärmningssäsongen och får högst tillgodoräknas upp till 1,00 l/s per </t>
  </si>
  <si>
    <t xml:space="preserve">m2. </t>
  </si>
  <si>
    <t xml:space="preserve">3) Tillägg får göras med (0,022 + 0,02 x (Fgeo -1)) x (q – 0,35)Atemp då uteluftsflödet av utökade </t>
  </si>
  <si>
    <t xml:space="preserve">3) Tillägg får göras med (0,022 + 0,02(Fgeo -1)) x (q – 0,35)Atemp då uteluftsflödet av utökade </t>
  </si>
  <si>
    <t xml:space="preserve">kontinuerliga hygieniska skäl är större än 0,35 l/s per m2 i temperaturreglerade utrymmen. Där </t>
  </si>
  <si>
    <t xml:space="preserve">kontinuerliga hygieniska skäl är större än 0,35 l/s per m2 i temperaturreglerade utrymmen. </t>
  </si>
  <si>
    <t xml:space="preserve">q är det maximala specifika uteluftsflödet vid DVUT. Om den geografiska justeringsfaktorn </t>
  </si>
  <si>
    <t>Där q är det maximala specifika uteluftsflödet vid DVUT. Om den geografiska justerings-</t>
  </si>
  <si>
    <t xml:space="preserve">Fgeo är mindre än 1,0 sätts den till 1,0 vid beräkning av installerad eleffekt. </t>
  </si>
  <si>
    <t xml:space="preserve">faktorn Fgeo är mindre än 1,0 sätts den till 1,0 vid beräkning av installerad eleffekt. </t>
  </si>
  <si>
    <t xml:space="preserve">4) Tillägg får göras med 40 x (qmedel – 0,35) i flerbostadshus där Atemp är 50 m2 eller större och </t>
  </si>
  <si>
    <t xml:space="preserve">4) Tillägg får göras med 70(qmedel – 0,35) i flerbostadshus där Atemp är 50 m2 eller större och </t>
  </si>
  <si>
    <t xml:space="preserve">som till övervägande delen (&gt;50 % Atemp) innehåller lägenheter med en boarea om högst </t>
  </si>
  <si>
    <t xml:space="preserve">35 m2 vardera och qmedel är uteluftsflödet i temperaturreglerade utrymmen överstiger 0,35 l/s </t>
  </si>
  <si>
    <t xml:space="preserve">per m2. Tillägget kan enbart användas på grund av krav på ventilation i särskilda utrymmen </t>
  </si>
  <si>
    <t xml:space="preserve">som badrum, toalett och kök och får högst tillgodoräknas upp till 0,6 l/s per m2. </t>
  </si>
  <si>
    <t xml:space="preserve">som badrum, toalett och kök. </t>
  </si>
  <si>
    <t xml:space="preserve">5) Tillägg får göras med (0,022 + 0,02 x (Fgeo -1)) x (q – 0,35)Atemp i flerbostadshus där Atemp är </t>
  </si>
  <si>
    <t xml:space="preserve">5) Tillägg får göras med (0,022 + 0,02(Fgeo -1)) x (q – 0,35)Atemp i flerbostadshus där Atemp är </t>
  </si>
  <si>
    <t xml:space="preserve">50 m2 eller större och som till övervägande delen (&gt;50 % Atemp) innehåller lägenheter med en </t>
  </si>
  <si>
    <t xml:space="preserve">boarea om högst 35 m2 vardera. Tillägget kan enbart användas då det maximala uteluftsflödet </t>
  </si>
  <si>
    <t>boarea om högst 35 m2 vardera. Tillägget kan enbart användas då det maximala utelufts-</t>
  </si>
  <si>
    <t xml:space="preserve">vid DVUT i temperaturreglerade utrymmen q överstiger 0,35 l/s per m2 på grund av krav på </t>
  </si>
  <si>
    <t xml:space="preserve">flödet vid DVUT i temperaturreglerade utrymmen q överstiger 0,35 l/s per m2 på grund av </t>
  </si>
  <si>
    <t xml:space="preserve">ventilation i särskilda utrymmen som badrum, toalett och kök. Om den geografiska </t>
  </si>
  <si>
    <t xml:space="preserve">krav på ventilation i särskilda utrymmen som badrum, toalett och kök. Om den geografiska </t>
  </si>
  <si>
    <t xml:space="preserve">justeringsfaktorn Fgeo är mindre än 1,0 sätts den till 1,0 vid beräkning av installerad eleffekt. </t>
  </si>
  <si>
    <t>justeringsfaktorn Fgeo är mindre än 1,0 sätts den till 1,0 vid beräkning av installerad eleffekt.</t>
  </si>
  <si>
    <t xml:space="preserve">                            Beräkningsresultat för helår utan viktningsfaktorer</t>
  </si>
  <si>
    <r>
      <t>B1. Beräknad energianvändning enl. BEN, kWh/m</t>
    </r>
    <r>
      <rPr>
        <vertAlign val="superscript"/>
        <sz val="14"/>
        <color rgb="FFFFFFFF"/>
        <rFont val="Franklin Gothic Demi"/>
        <family val="2"/>
      </rPr>
      <t>2</t>
    </r>
    <r>
      <rPr>
        <sz val="14"/>
        <color rgb="FFFFFFFF"/>
        <rFont val="Franklin Gothic Demi"/>
        <family val="2"/>
      </rPr>
      <t>A</t>
    </r>
    <r>
      <rPr>
        <vertAlign val="subscript"/>
        <sz val="14"/>
        <color rgb="FFFFFFFF"/>
        <rFont val="Franklin Gothic Demi"/>
        <family val="2"/>
      </rPr>
      <t>temp</t>
    </r>
    <r>
      <rPr>
        <sz val="14"/>
        <color rgb="FFFFFFFF"/>
        <rFont val="Franklin Gothic Demi"/>
        <family val="2"/>
      </rPr>
      <t xml:space="preserve"> samt installerad eleffekt</t>
    </r>
  </si>
  <si>
    <t>Uppdelat beräkningsresultat (utdata)</t>
  </si>
  <si>
    <r>
      <t>Beräknat inför startbesked</t>
    </r>
    <r>
      <rPr>
        <sz val="10"/>
        <color theme="1"/>
        <rFont val="Franklin Gothic Book"/>
        <family val="2"/>
      </rPr>
      <t xml:space="preserve"> </t>
    </r>
  </si>
  <si>
    <r>
      <t>Uppdaterat inför byggstart (frivilligt)</t>
    </r>
    <r>
      <rPr>
        <sz val="10"/>
        <color theme="1"/>
        <rFont val="Franklin Gothic Book"/>
        <family val="2"/>
      </rPr>
      <t xml:space="preserve"> </t>
    </r>
  </si>
  <si>
    <r>
      <t>Uppdaterat inför slutbesked</t>
    </r>
    <r>
      <rPr>
        <sz val="10"/>
        <color theme="1"/>
        <rFont val="Franklin Gothic Book"/>
        <family val="2"/>
      </rPr>
      <t xml:space="preserve"> </t>
    </r>
    <r>
      <rPr>
        <sz val="10"/>
        <color theme="1"/>
        <rFont val="Franklin Gothic Demi"/>
        <family val="2"/>
      </rPr>
      <t>(alternativt relationshandling)</t>
    </r>
  </si>
  <si>
    <r>
      <t>kWh/m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</si>
  <si>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r>
      <t>Uppvärmning</t>
    </r>
    <r>
      <rPr>
        <sz val="8"/>
        <color theme="1"/>
        <rFont val="Franklin Gothic Book"/>
        <family val="2"/>
      </rPr>
      <t>  </t>
    </r>
    <r>
      <rPr>
        <sz val="10"/>
        <color theme="1"/>
        <rFont val="Franklin Gothic Book"/>
        <family val="2"/>
      </rPr>
      <t xml:space="preserve"> </t>
    </r>
    <r>
      <rPr>
        <sz val="8"/>
        <color theme="1"/>
        <rFont val="Franklin Gothic Book"/>
        <family val="2"/>
      </rPr>
      <t> </t>
    </r>
    <r>
      <rPr>
        <sz val="10"/>
        <color theme="1"/>
        <rFont val="Franklin Gothic Book"/>
        <family val="2"/>
      </rPr>
      <t xml:space="preserve">(enligt BBR) </t>
    </r>
  </si>
  <si>
    <r>
      <t>….varav VVC-förluster (totala) och stilleståndsförlust</t>
    </r>
    <r>
      <rPr>
        <sz val="8"/>
        <color theme="1"/>
        <rFont val="Franklin Gothic Book"/>
        <family val="2"/>
      </rPr>
      <t> </t>
    </r>
  </si>
  <si>
    <t xml:space="preserve">      ….varav distributionsförlust för värme</t>
  </si>
  <si>
    <t>.…varav avdrag på uppvärmning för lokalt producerad förnybar energi (solvärme m.m.)</t>
  </si>
  <si>
    <t>….varav komfortgolvvärme med el i badrum</t>
  </si>
  <si>
    <t>Vädringspåslag</t>
  </si>
  <si>
    <r>
      <t>Normalt tappvarmvatten</t>
    </r>
    <r>
      <rPr>
        <sz val="8"/>
        <color theme="1"/>
        <rFont val="Franklin Gothic Book"/>
        <family val="2"/>
      </rPr>
      <t>  </t>
    </r>
    <r>
      <rPr>
        <sz val="10"/>
        <color theme="1"/>
        <rFont val="Franklin Gothic Book"/>
        <family val="2"/>
      </rPr>
      <t>för byggnaden.</t>
    </r>
  </si>
  <si>
    <t>Komfortkyla, el</t>
  </si>
  <si>
    <t>….varav distributionsförlust för komfortkyla med el</t>
  </si>
  <si>
    <t>Komfortkyla, fjärrkyla</t>
  </si>
  <si>
    <t xml:space="preserve">      ….varav distributionsförlust för komfortfjärrkyla</t>
  </si>
  <si>
    <t>Fastighetsenergi – el (efter avdrag för solceller)</t>
  </si>
  <si>
    <t>….varav el från solceller som inte tidigare dragits av</t>
  </si>
  <si>
    <r>
      <t>Fastighetsenergi</t>
    </r>
    <r>
      <rPr>
        <sz val="8"/>
        <color theme="1"/>
        <rFont val="Franklin Gothic Book"/>
        <family val="2"/>
      </rPr>
      <t> </t>
    </r>
    <r>
      <rPr>
        <sz val="10"/>
        <color theme="1"/>
        <rFont val="Franklin Gothic Book"/>
        <family val="2"/>
      </rPr>
      <t xml:space="preserve"> - övrig</t>
    </r>
  </si>
  <si>
    <r>
      <t>Beräknad 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10"/>
        <color theme="1"/>
        <rFont val="Franklin Gothic Book"/>
        <family val="2"/>
      </rPr>
      <t>.</t>
    </r>
  </si>
  <si>
    <t>Antagen indata på verksamhetsenergi och hushållsenergi</t>
  </si>
  <si>
    <t>Utvändig el som inte ingår</t>
  </si>
  <si>
    <r>
      <t>Beräknad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</si>
  <si>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Beräkningsresultat i kWh uppdelat per energibärare (underlag för beräkning av primärenergital).</t>
  </si>
  <si>
    <t>Beräknat inför startbesked</t>
  </si>
  <si>
    <t>kWh</t>
  </si>
  <si>
    <t>Uppvärmning, el</t>
  </si>
  <si>
    <t>Uppvärmning, fjv</t>
  </si>
  <si>
    <t>Uppvärmning, bio</t>
  </si>
  <si>
    <t>Uppvärmning, olja &amp; gas</t>
  </si>
  <si>
    <t>VVC, el</t>
  </si>
  <si>
    <t>VVC, fjv</t>
  </si>
  <si>
    <t>VVC, bio</t>
  </si>
  <si>
    <t>VVC, olja &amp; gas</t>
  </si>
  <si>
    <t>Tappvv, el</t>
  </si>
  <si>
    <t>Tappvv, fjv</t>
  </si>
  <si>
    <t>Tappvv, bio</t>
  </si>
  <si>
    <t>Tappvv, olja &amp; gas</t>
  </si>
  <si>
    <t>Komfortkyla, fjk</t>
  </si>
  <si>
    <t>Komfortkyla, fjv</t>
  </si>
  <si>
    <t>Komfortkyla, bio</t>
  </si>
  <si>
    <t>Komfortkyla, olja &amp; gas</t>
  </si>
  <si>
    <t>Fastighetsenergi, el</t>
  </si>
  <si>
    <t>Fastighetsenergi, fjv</t>
  </si>
  <si>
    <t>Fastighetsenergi, bio</t>
  </si>
  <si>
    <t>Fastighetsenergi, olja &amp; gas</t>
  </si>
  <si>
    <t>Summa</t>
  </si>
  <si>
    <t>Beräkningsindata och klimatskärmsdata</t>
  </si>
  <si>
    <r>
      <t>B2.</t>
    </r>
    <r>
      <rPr>
        <sz val="8"/>
        <color rgb="FF000000"/>
        <rFont val="Franklin Gothic Book"/>
        <family val="2"/>
      </rPr>
      <t>  </t>
    </r>
    <r>
      <rPr>
        <sz val="14"/>
        <color rgb="FFFFFFFF"/>
        <rFont val="Franklin Gothic Demi"/>
        <family val="2"/>
      </rPr>
      <t xml:space="preserve"> Data för klimatskärm – U-medelvärde och luftläckning</t>
    </r>
  </si>
  <si>
    <t>Beräknat/projekterat</t>
  </si>
  <si>
    <t>Uppdaterat färdig byggnad</t>
  </si>
  <si>
    <t>Konstruktionsdelar</t>
  </si>
  <si>
    <r>
      <t>U-värde, W/m</t>
    </r>
    <r>
      <rPr>
        <vertAlign val="superscript"/>
        <sz val="10"/>
        <color theme="1"/>
        <rFont val="Franklin Gothic Demi"/>
        <family val="2"/>
      </rPr>
      <t>2</t>
    </r>
    <r>
      <rPr>
        <sz val="10"/>
        <color theme="1"/>
        <rFont val="Franklin Gothic Demi"/>
        <family val="2"/>
      </rPr>
      <t>K</t>
    </r>
  </si>
  <si>
    <r>
      <t>Area, m</t>
    </r>
    <r>
      <rPr>
        <vertAlign val="superscript"/>
        <sz val="10"/>
        <color theme="1"/>
        <rFont val="Franklin Gothic Demi"/>
        <family val="2"/>
      </rPr>
      <t>2</t>
    </r>
  </si>
  <si>
    <t>U*A, W/K</t>
  </si>
  <si>
    <t>Tak/vindsbjälklag 1</t>
  </si>
  <si>
    <t>Tak/vindsbjälklag 2</t>
  </si>
  <si>
    <t>Yttervägg ovan mark 1</t>
  </si>
  <si>
    <t>Yttervägg ovan mark 2</t>
  </si>
  <si>
    <t>Yttervägg under mark</t>
  </si>
  <si>
    <t>Golv/grund</t>
  </si>
  <si>
    <t>Fönster 1</t>
  </si>
  <si>
    <t>Fönster 2</t>
  </si>
  <si>
    <t>Dörrar</t>
  </si>
  <si>
    <t xml:space="preserve">Expanderbara tabeller? </t>
  </si>
  <si>
    <t>Portar</t>
  </si>
  <si>
    <t>Areor mot delvis uppvärmt utrymme och garage.</t>
  </si>
  <si>
    <t>Övrigt</t>
  </si>
  <si>
    <t>Rimliga intervaller omfattar…</t>
  </si>
  <si>
    <r>
      <t>Area A</t>
    </r>
    <r>
      <rPr>
        <vertAlign val="subscript"/>
        <sz val="10"/>
        <color theme="1"/>
        <rFont val="Franklin Gothic Book"/>
        <family val="2"/>
      </rPr>
      <t>om</t>
    </r>
    <r>
      <rPr>
        <sz val="10"/>
        <color theme="1"/>
        <rFont val="Franklin Gothic Book"/>
        <family val="2"/>
      </rPr>
      <t xml:space="preserve"> och summa U*A</t>
    </r>
  </si>
  <si>
    <t>-</t>
  </si>
  <si>
    <t>Köldbryggor</t>
  </si>
  <si>
    <t>Ψ- värde W/m,K</t>
  </si>
  <si>
    <t>Längd, m</t>
  </si>
  <si>
    <t>Χ-värde, W/K</t>
  </si>
  <si>
    <t>Bottenbjälklag-yttervägg</t>
  </si>
  <si>
    <t>Bjälklagskanter</t>
  </si>
  <si>
    <t>Balkongkanter</t>
  </si>
  <si>
    <t>Vindsbjälklag-yttervägg</t>
  </si>
  <si>
    <t>Fönster- och dörrsmygar</t>
  </si>
  <si>
    <t>Ytterhörn (vertikalt)</t>
  </si>
  <si>
    <t>Övriga linjeköldbryggor</t>
  </si>
  <si>
    <t>Punktinfästningar</t>
  </si>
  <si>
    <t>Summa Psi*l</t>
  </si>
  <si>
    <r>
      <t>Resulterande U</t>
    </r>
    <r>
      <rPr>
        <vertAlign val="subscript"/>
        <sz val="10"/>
        <color rgb="FF000000"/>
        <rFont val="Franklin Gothic Demi"/>
        <family val="2"/>
      </rPr>
      <t>m</t>
    </r>
    <r>
      <rPr>
        <sz val="10"/>
        <color rgb="FF000000"/>
        <rFont val="Franklin Gothic Demi"/>
        <family val="2"/>
      </rPr>
      <t>-värde,   W/m</t>
    </r>
    <r>
      <rPr>
        <vertAlign val="superscript"/>
        <sz val="10"/>
        <color rgb="FF000000"/>
        <rFont val="Franklin Gothic Demi"/>
        <family val="2"/>
      </rPr>
      <t>2</t>
    </r>
    <r>
      <rPr>
        <sz val="10"/>
        <color rgb="FF000000"/>
        <rFont val="Franklin Gothic Demi"/>
        <family val="2"/>
      </rPr>
      <t xml:space="preserve">K </t>
    </r>
  </si>
  <si>
    <t>  </t>
  </si>
  <si>
    <r>
      <rPr>
        <sz val="10"/>
        <color theme="1"/>
        <rFont val="Franklin Gothic Demi"/>
        <family val="2"/>
      </rPr>
      <t>Formfaktor (A</t>
    </r>
    <r>
      <rPr>
        <vertAlign val="subscript"/>
        <sz val="10"/>
        <color theme="1"/>
        <rFont val="Franklin Gothic Demi"/>
        <family val="2"/>
      </rPr>
      <t>om</t>
    </r>
    <r>
      <rPr>
        <sz val="10"/>
        <color theme="1"/>
        <rFont val="Franklin Gothic Demi"/>
        <family val="2"/>
      </rPr>
      <t>/A</t>
    </r>
    <r>
      <rPr>
        <vertAlign val="subscript"/>
        <sz val="10"/>
        <color theme="1"/>
        <rFont val="Franklin Gothic Demi"/>
        <family val="2"/>
      </rPr>
      <t>temp</t>
    </r>
    <r>
      <rPr>
        <sz val="10"/>
        <color theme="1"/>
        <rFont val="Franklin Gothic Demi"/>
        <family val="2"/>
      </rPr>
      <t>)</t>
    </r>
  </si>
  <si>
    <r>
      <t>Luftläckning vid 50 Pa,    l/s,m</t>
    </r>
    <r>
      <rPr>
        <vertAlign val="superscript"/>
        <sz val="10"/>
        <color rgb="FF000000"/>
        <rFont val="Franklin Gothic Demi"/>
        <family val="2"/>
      </rPr>
      <t>2</t>
    </r>
    <r>
      <rPr>
        <sz val="10"/>
        <color rgb="FF000000"/>
        <rFont val="Franklin Gothic Demi"/>
        <family val="2"/>
      </rPr>
      <t>A</t>
    </r>
    <r>
      <rPr>
        <vertAlign val="subscript"/>
        <sz val="10"/>
        <color rgb="FF000000"/>
        <rFont val="Franklin Gothic Demi"/>
        <family val="2"/>
      </rPr>
      <t>om</t>
    </r>
  </si>
  <si>
    <r>
      <t>Solskydd</t>
    </r>
    <r>
      <rPr>
        <sz val="8"/>
        <color theme="1"/>
        <rFont val="Franklin Gothic Book"/>
        <family val="2"/>
      </rPr>
      <t> </t>
    </r>
    <r>
      <rPr>
        <sz val="14"/>
        <color rgb="FFFFFFFF"/>
        <rFont val="Franklin Gothic Demi"/>
        <family val="2"/>
      </rPr>
      <t>- indata</t>
    </r>
  </si>
  <si>
    <r>
      <t> </t>
    </r>
    <r>
      <rPr>
        <sz val="10"/>
        <color rgb="FFFF0000"/>
        <rFont val="Franklin Gothic Book"/>
        <family val="2"/>
      </rPr>
      <t>Tydliga instruktioner till energiberäknare behövs.</t>
    </r>
  </si>
  <si>
    <r>
      <t>Fönsterglas g-värde</t>
    </r>
    <r>
      <rPr>
        <sz val="8"/>
        <color theme="1"/>
        <rFont val="Franklin Gothic Book"/>
        <family val="2"/>
      </rPr>
      <t> </t>
    </r>
    <r>
      <rPr>
        <sz val="10"/>
        <color theme="1"/>
        <rFont val="Franklin Gothic Book"/>
        <family val="2"/>
      </rPr>
      <t>, S</t>
    </r>
  </si>
  <si>
    <t>Fönsterglas g-värde, Ö</t>
  </si>
  <si>
    <t>Fönsterglas g-värde, V</t>
  </si>
  <si>
    <r>
      <t> </t>
    </r>
    <r>
      <rPr>
        <sz val="10"/>
        <color rgb="FFFF0000"/>
        <rFont val="Franklin Gothic Book"/>
        <family val="2"/>
      </rPr>
      <t>Alt. g-syst, som är inkl. gardiner mm.</t>
    </r>
  </si>
  <si>
    <t>Fönsterglas g-värde, N</t>
  </si>
  <si>
    <r>
      <t> </t>
    </r>
    <r>
      <rPr>
        <sz val="10"/>
        <color rgb="FFFF0000"/>
        <rFont val="Franklin Gothic Book"/>
        <family val="2"/>
      </rPr>
      <t>Para ihop solskydd och fönsterglas?</t>
    </r>
  </si>
  <si>
    <t>Ev. skuggningsandel</t>
  </si>
  <si>
    <t>Anm. Skuggningsandel avser ytterligare begränsning av solinstrålningen i form av horisontavskärmning, utkragande balkonger eller dylikt, som inte direkt påverkas av brukare.</t>
  </si>
  <si>
    <r>
      <t>Typ av solskydd</t>
    </r>
    <r>
      <rPr>
        <sz val="8"/>
        <color theme="1"/>
        <rFont val="Franklin Gothic Book"/>
        <family val="2"/>
      </rPr>
      <t> </t>
    </r>
    <r>
      <rPr>
        <sz val="10"/>
        <color theme="1"/>
        <rFont val="Franklin Gothic Book"/>
        <family val="2"/>
      </rPr>
      <t xml:space="preserve"> </t>
    </r>
  </si>
  <si>
    <t>Rullist?</t>
  </si>
  <si>
    <t>B3. Beräkningsindata – Allmänt</t>
  </si>
  <si>
    <t>Beräkningsprogram, version</t>
  </si>
  <si>
    <t>Klimatdatafil, ort och år</t>
  </si>
  <si>
    <r>
      <t>Total A</t>
    </r>
    <r>
      <rPr>
        <vertAlign val="subscript"/>
        <sz val="10"/>
        <color theme="1"/>
        <rFont val="Franklin Gothic Book"/>
        <family val="2"/>
      </rPr>
      <t>temp</t>
    </r>
  </si>
  <si>
    <t>Antal beräkningszoner (för olika verksamheter etc.)</t>
  </si>
  <si>
    <r>
      <t>     </t>
    </r>
    <r>
      <rPr>
        <sz val="8"/>
        <color theme="1"/>
        <rFont val="Franklin Gothic Book"/>
        <family val="2"/>
      </rPr>
      <t> </t>
    </r>
  </si>
  <si>
    <t xml:space="preserve"> Överensstämmer brukarindata för bostäder med BEN ? Om nej, ange avvikelse och motiv: </t>
  </si>
  <si>
    <t>B4. Beräkningsindata – Brukare</t>
  </si>
  <si>
    <t>Indata per beräkningszon</t>
  </si>
  <si>
    <t>Zon      </t>
  </si>
  <si>
    <r>
      <t> </t>
    </r>
    <r>
      <rPr>
        <sz val="10"/>
        <color rgb="FFFF0000"/>
        <rFont val="Franklin Gothic Book"/>
        <family val="2"/>
      </rPr>
      <t>Flexiblare blankett önskas för lokaler, t.ex. med möjlighet till fler än tre zoner. Är denna ruta onödig, eller ska man alternativt redovisa princip för zonindelning?</t>
    </r>
  </si>
  <si>
    <t>Typ av verksamhet</t>
  </si>
  <si>
    <t>Verksamhetstider vardagar, klockslag</t>
  </si>
  <si>
    <t>Flera rader för verksamhetstider.</t>
  </si>
  <si>
    <t>Verksamhetstider helgdagar, klockslag</t>
  </si>
  <si>
    <t>Inneklimat och interna värmelaster:</t>
  </si>
  <si>
    <t>Lägsta lufttemperatur vintertid, ºC</t>
  </si>
  <si>
    <t>Högsta lufttemperatur sommartid, ºC</t>
  </si>
  <si>
    <r>
      <t>Personvärme (medel) under verksamhetstid, W/m</t>
    </r>
    <r>
      <rPr>
        <vertAlign val="superscript"/>
        <sz val="10"/>
        <color theme="1"/>
        <rFont val="Franklin Gothic Book"/>
        <family val="2"/>
      </rPr>
      <t>3</t>
    </r>
    <r>
      <rPr>
        <sz val="11"/>
        <color theme="1"/>
        <rFont val="Calibri"/>
        <family val="2"/>
        <scheme val="minor"/>
      </rPr>
      <t/>
    </r>
  </si>
  <si>
    <t>Antagen närvaro, %</t>
  </si>
  <si>
    <r>
      <t>Belysningseffekt (medel) under verksamhetstid W/m</t>
    </r>
    <r>
      <rPr>
        <vertAlign val="superscript"/>
        <sz val="10"/>
        <color theme="1"/>
        <rFont val="Franklin Gothic Book"/>
        <family val="2"/>
      </rPr>
      <t>3</t>
    </r>
    <r>
      <rPr>
        <sz val="10"/>
        <color theme="1"/>
        <rFont val="Franklin Gothic Book"/>
        <family val="2"/>
      </rPr>
      <t/>
    </r>
  </si>
  <si>
    <t>Typ av styrning och reglering av belysning</t>
  </si>
  <si>
    <r>
      <t>Elapparateffekt (medel) under verksamhetstid, W/m</t>
    </r>
    <r>
      <rPr>
        <vertAlign val="superscript"/>
        <sz val="10"/>
        <color theme="1"/>
        <rFont val="Franklin Gothic Book"/>
        <family val="2"/>
      </rPr>
      <t>3</t>
    </r>
    <r>
      <rPr>
        <sz val="11"/>
        <color theme="1"/>
        <rFont val="Calibri"/>
        <family val="2"/>
        <scheme val="minor"/>
      </rPr>
      <t/>
    </r>
  </si>
  <si>
    <t>B5. Beräkningsindata - Installationer</t>
  </si>
  <si>
    <t>För bostäder räcker det med att nedtill redovisa luftflöde, SFP-tal, temperaturverkningsgrad, SCOP värme och SCOP varmvatten för en beräkningszon.</t>
  </si>
  <si>
    <t>Ventilationssystem:</t>
  </si>
  <si>
    <r>
      <t> </t>
    </r>
    <r>
      <rPr>
        <sz val="10"/>
        <color rgb="FFFF0000"/>
        <rFont val="Franklin Gothic Book"/>
        <family val="2"/>
      </rPr>
      <t>Infoga beskrivning av system för värmetillförsel, kyla, TVV och distributionssystem? Alternativt i inledningen.</t>
    </r>
  </si>
  <si>
    <t>Typ: CAV eller VAV</t>
  </si>
  <si>
    <r>
      <t>Om CAV: Ventilationsflöde,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</si>
  <si>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CAV: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</si>
  <si>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Lägsta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</si>
  <si>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Medelflöde vid närvaro,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</si>
  <si>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Högsta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</si>
  <si>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</si>
  <si>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SFP</t>
    </r>
    <r>
      <rPr>
        <sz val="8"/>
        <color theme="1"/>
        <rFont val="Franklin Gothic Book"/>
        <family val="2"/>
      </rPr>
      <t> </t>
    </r>
    <r>
      <rPr>
        <sz val="10"/>
        <color theme="1"/>
        <rFont val="Franklin Gothic Book"/>
        <family val="2"/>
      </rPr>
      <t>-tal</t>
    </r>
  </si>
  <si>
    <r>
      <t> </t>
    </r>
    <r>
      <rPr>
        <sz val="10"/>
        <color rgb="FFFF0000"/>
        <rFont val="Franklin Gothic Book"/>
        <family val="2"/>
      </rPr>
      <t>Definiera SFP – för aggregat eller system? SFPv eller SFPe - rullist?</t>
    </r>
  </si>
  <si>
    <t>Tilluftstemperatur,°C</t>
  </si>
  <si>
    <r>
      <t>Temperaturverkningsgrad</t>
    </r>
    <r>
      <rPr>
        <sz val="8"/>
        <color theme="1"/>
        <rFont val="Franklin Gothic Book"/>
        <family val="2"/>
      </rPr>
      <t> </t>
    </r>
    <r>
      <rPr>
        <sz val="10"/>
        <color theme="1"/>
        <rFont val="Franklin Gothic Book"/>
        <family val="2"/>
      </rPr>
      <t>, värmeåtervinning, %</t>
    </r>
  </si>
  <si>
    <r>
      <t> </t>
    </r>
    <r>
      <rPr>
        <sz val="10"/>
        <color rgb="FFFF0000"/>
        <rFont val="Franklin Gothic Book"/>
        <family val="2"/>
      </rPr>
      <t>Instruktion och hänvisning till definition som tar hänsyn till avfrostning behövs. Årsverkningsgrad.</t>
    </r>
  </si>
  <si>
    <t>Drifttider för ventilation</t>
  </si>
  <si>
    <r>
      <t xml:space="preserve">Värme </t>
    </r>
    <r>
      <rPr>
        <sz val="8"/>
        <color theme="1"/>
        <rFont val="Franklin Gothic Book"/>
        <family val="2"/>
      </rPr>
      <t> </t>
    </r>
    <r>
      <rPr>
        <sz val="10"/>
        <color theme="1"/>
        <rFont val="Franklin Gothic Demi"/>
        <family val="2"/>
      </rPr>
      <t>och kyla:</t>
    </r>
  </si>
  <si>
    <t>SCOP värme</t>
  </si>
  <si>
    <t>SCOP varmvatten</t>
  </si>
  <si>
    <t>SCOP  kylmaskin</t>
  </si>
  <si>
    <t>VVC:</t>
  </si>
  <si>
    <t>Rörlängd, m</t>
  </si>
  <si>
    <t>Isolerklass, VVC-isolering</t>
  </si>
  <si>
    <t>Övrigt:</t>
  </si>
  <si>
    <t xml:space="preserve"> Sammanställning och beräkning av Upphandlingsmyndighetens krav</t>
  </si>
  <si>
    <t>Rad nr</t>
  </si>
  <si>
    <r>
      <t>Nettovärmeenergi (UHM 1A), kWh/m</t>
    </r>
    <r>
      <rPr>
        <vertAlign val="superscript"/>
        <sz val="12"/>
        <color theme="1"/>
        <rFont val="Franklin Gothic Demi"/>
        <family val="2"/>
      </rPr>
      <t>2</t>
    </r>
    <r>
      <rPr>
        <sz val="12"/>
        <color theme="1"/>
        <rFont val="Franklin Gothic Demi"/>
        <family val="2"/>
      </rPr>
      <t>A</t>
    </r>
    <r>
      <rPr>
        <vertAlign val="subscript"/>
        <sz val="12"/>
        <color theme="1"/>
        <rFont val="Franklin Gothic Demi"/>
        <family val="2"/>
      </rPr>
      <t>temp</t>
    </r>
  </si>
  <si>
    <t>Uppdaterat inför byggstart</t>
  </si>
  <si>
    <r>
      <rPr>
        <sz val="10"/>
        <rFont val="Franklin Gothic Demi"/>
        <family val="2"/>
      </rPr>
      <t>Uppdaterad relationshandling</t>
    </r>
    <r>
      <rPr>
        <sz val="10"/>
        <color theme="1"/>
        <rFont val="Franklin Gothic Demi"/>
        <family val="2"/>
      </rPr>
      <t xml:space="preserve"> (inför slutbesked)</t>
    </r>
  </si>
  <si>
    <r>
      <rPr>
        <b/>
        <sz val="10"/>
        <color theme="1"/>
        <rFont val="Franklin Gothic Book"/>
        <family val="2"/>
      </rPr>
      <t>Värme</t>
    </r>
    <r>
      <rPr>
        <sz val="10"/>
        <color theme="1"/>
        <rFont val="Franklin Gothic Book"/>
        <family val="2"/>
      </rPr>
      <t xml:space="preserve"> levererad av fjärrvärme eller annat nät. </t>
    </r>
  </si>
  <si>
    <r>
      <rPr>
        <b/>
        <sz val="10"/>
        <color theme="1"/>
        <rFont val="Franklin Gothic Book"/>
        <family val="2"/>
      </rPr>
      <t>Värme</t>
    </r>
    <r>
      <rPr>
        <sz val="10"/>
        <color theme="1"/>
        <rFont val="Franklin Gothic Book"/>
        <family val="2"/>
      </rPr>
      <t xml:space="preserve"> levererad av annan uppvärmning (som ej anges nedan). </t>
    </r>
  </si>
  <si>
    <r>
      <rPr>
        <b/>
        <sz val="10"/>
        <color theme="1"/>
        <rFont val="Franklin Gothic Book"/>
        <family val="2"/>
      </rPr>
      <t>Värme</t>
    </r>
    <r>
      <rPr>
        <sz val="10"/>
        <color theme="1"/>
        <rFont val="Franklin Gothic Book"/>
        <family val="2"/>
      </rPr>
      <t xml:space="preserve"> levererad av lokalt producerad /gratis energi (solvärme m.m.). </t>
    </r>
  </si>
  <si>
    <r>
      <rPr>
        <b/>
        <sz val="10"/>
        <color theme="1"/>
        <rFont val="Franklin Gothic Book"/>
        <family val="2"/>
      </rPr>
      <t xml:space="preserve">Värme </t>
    </r>
    <r>
      <rPr>
        <sz val="10"/>
        <color theme="1"/>
        <rFont val="Franklin Gothic Book"/>
        <family val="2"/>
      </rPr>
      <t>från komfortgolvvärme, handdukstork, etc. med el.</t>
    </r>
  </si>
  <si>
    <t>Övergripande säkerhetsmarginal enligt BEN.</t>
  </si>
  <si>
    <t>Av summerad nettovärme ovan, ange vad som utgör:</t>
  </si>
  <si>
    <t>….varav VVC-förluster (totala) och stilleståndsförluster</t>
  </si>
  <si>
    <t xml:space="preserve"> </t>
  </si>
  <si>
    <t>Summa nettovärmeenergi enligt UHM 1A</t>
  </si>
  <si>
    <r>
      <t>Byggnadens energianvändning (UHM 1B), kWh/m</t>
    </r>
    <r>
      <rPr>
        <vertAlign val="superscript"/>
        <sz val="12"/>
        <color theme="1"/>
        <rFont val="Franklin Gothic Demi"/>
        <family val="2"/>
      </rPr>
      <t>2</t>
    </r>
    <r>
      <rPr>
        <sz val="12"/>
        <color theme="1"/>
        <rFont val="Franklin Gothic Demi"/>
        <family val="2"/>
      </rPr>
      <t xml:space="preserve"> A</t>
    </r>
    <r>
      <rPr>
        <vertAlign val="subscript"/>
        <sz val="12"/>
        <color theme="1"/>
        <rFont val="Franklin Gothic Demi"/>
        <family val="2"/>
      </rPr>
      <t>temp</t>
    </r>
  </si>
  <si>
    <t xml:space="preserve">      ….varav el till "fast" fastighetsbelysning</t>
  </si>
  <si>
    <t>...varav el till FTX</t>
  </si>
  <si>
    <t>...varav el till VVC</t>
  </si>
  <si>
    <t>…varav el till hissar (inklusive fast belysning)</t>
  </si>
  <si>
    <t>…varav el till garage  (inklusive fast belysning)</t>
  </si>
  <si>
    <t>Summa byggnadens energianvändning enligt UHM 1B</t>
  </si>
  <si>
    <t>Uppföljning av VFT med mätning av energisignatur</t>
  </si>
  <si>
    <t>Indata till värmeförlusttal</t>
  </si>
  <si>
    <t>Beräknat inför byggstart</t>
  </si>
  <si>
    <t>Beräknat inför slutbesked</t>
  </si>
  <si>
    <r>
      <t>U</t>
    </r>
    <r>
      <rPr>
        <vertAlign val="subscript"/>
        <sz val="11"/>
        <color rgb="FF000000"/>
        <rFont val="Franklin Gothic Book"/>
        <family val="2"/>
      </rPr>
      <t>m</t>
    </r>
    <r>
      <rPr>
        <sz val="11"/>
        <color rgb="FF000000"/>
        <rFont val="Franklin Gothic Book"/>
        <family val="2"/>
      </rPr>
      <t>-värde</t>
    </r>
  </si>
  <si>
    <r>
      <t>W/m</t>
    </r>
    <r>
      <rPr>
        <vertAlign val="superscript"/>
        <sz val="10"/>
        <color rgb="FF000000"/>
        <rFont val="Franklin Gothic Book"/>
        <family val="2"/>
      </rPr>
      <t>2</t>
    </r>
    <r>
      <rPr>
        <sz val="10"/>
        <color rgb="FF000000"/>
        <rFont val="Franklin Gothic Book"/>
        <family val="2"/>
      </rPr>
      <t xml:space="preserve">K </t>
    </r>
  </si>
  <si>
    <r>
      <t>Area, A</t>
    </r>
    <r>
      <rPr>
        <vertAlign val="subscript"/>
        <sz val="11"/>
        <color theme="1"/>
        <rFont val="Franklin Gothic Book"/>
        <family val="2"/>
      </rPr>
      <t>temp</t>
    </r>
  </si>
  <si>
    <r>
      <t>m</t>
    </r>
    <r>
      <rPr>
        <vertAlign val="superscript"/>
        <sz val="10"/>
        <color rgb="FF000000"/>
        <rFont val="Franklin Gothic Book"/>
        <family val="2"/>
      </rPr>
      <t>2</t>
    </r>
  </si>
  <si>
    <r>
      <t>Omslutningsarea, A</t>
    </r>
    <r>
      <rPr>
        <vertAlign val="subscript"/>
        <sz val="11"/>
        <color theme="1"/>
        <rFont val="Franklin Gothic Book"/>
        <family val="2"/>
      </rPr>
      <t>om</t>
    </r>
  </si>
  <si>
    <t>DVUT, ange</t>
  </si>
  <si>
    <t>FTX-verkningsgrad</t>
  </si>
  <si>
    <r>
      <t>Genomsnittligt hygieniskt ventilationsflöde, q</t>
    </r>
    <r>
      <rPr>
        <vertAlign val="subscript"/>
        <sz val="11"/>
        <color theme="1"/>
        <rFont val="Franklin Gothic Book"/>
        <family val="2"/>
      </rPr>
      <t>m</t>
    </r>
    <r>
      <rPr>
        <sz val="11"/>
        <color theme="1"/>
        <rFont val="Franklin Gothic Book"/>
        <family val="2"/>
      </rPr>
      <t xml:space="preserve"> (q</t>
    </r>
    <r>
      <rPr>
        <vertAlign val="subscript"/>
        <sz val="11"/>
        <color theme="1"/>
        <rFont val="Franklin Gothic Book"/>
        <family val="2"/>
      </rPr>
      <t>vent</t>
    </r>
    <r>
      <rPr>
        <sz val="11"/>
        <color theme="1"/>
        <rFont val="Franklin Gothic Book"/>
        <family val="2"/>
      </rPr>
      <t>)</t>
    </r>
  </si>
  <si>
    <t>l/s</t>
  </si>
  <si>
    <t>Tilluftsflöde</t>
  </si>
  <si>
    <t>Frånluftsflöde</t>
  </si>
  <si>
    <t>Uppmätt värmeförlusttal</t>
  </si>
  <si>
    <t>Mätperiod</t>
  </si>
  <si>
    <t>Utetemperatur</t>
  </si>
  <si>
    <t>Värmeenergi</t>
  </si>
  <si>
    <t>Timmedeleffekt</t>
  </si>
  <si>
    <t>q50</t>
  </si>
  <si>
    <r>
      <t>W/m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</si>
  <si>
    <t>längd, h</t>
  </si>
  <si>
    <t>°C</t>
  </si>
  <si>
    <t>kWh/mätperiod</t>
  </si>
  <si>
    <t>Wh/h</t>
  </si>
  <si>
    <t>Vindskyddskoefficient e</t>
  </si>
  <si>
    <t>Vindskyddskoefficient f</t>
  </si>
  <si>
    <r>
      <t>Läckluftflöde, q</t>
    </r>
    <r>
      <rPr>
        <vertAlign val="subscript"/>
        <sz val="11"/>
        <color rgb="FF000000"/>
        <rFont val="Franklin Gothic Book"/>
        <family val="2"/>
      </rPr>
      <t>läck</t>
    </r>
  </si>
  <si>
    <t>Värmeförlustkoefficient, HT</t>
  </si>
  <si>
    <t>W/K</t>
  </si>
  <si>
    <t>Vämeförlusttal</t>
  </si>
  <si>
    <r>
      <t>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</si>
  <si>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Enligt UHM och FEBY 18:</t>
  </si>
  <si>
    <t>Sammanställning av mätresultat med och utan korrigering från flikarna C2 och C3</t>
  </si>
  <si>
    <t>Byggnad, adress:</t>
  </si>
  <si>
    <t>Bränsle 1</t>
  </si>
  <si>
    <t>Bränsle 2</t>
  </si>
  <si>
    <t>Byggherre:</t>
  </si>
  <si>
    <t>Källa 1</t>
  </si>
  <si>
    <t>Källa 2</t>
  </si>
  <si>
    <t>Riksbyggnadsnyckel:</t>
  </si>
  <si>
    <r>
      <t>A</t>
    </r>
    <r>
      <rPr>
        <vertAlign val="subscript"/>
        <sz val="11"/>
        <color indexed="8"/>
        <rFont val="Franklin Gothic Book"/>
        <family val="2"/>
      </rPr>
      <t>temp</t>
    </r>
    <r>
      <rPr>
        <sz val="11"/>
        <color indexed="8"/>
        <rFont val="Franklin Gothic Book"/>
        <family val="2"/>
      </rPr>
      <t>:</t>
    </r>
  </si>
  <si>
    <r>
      <t>m</t>
    </r>
    <r>
      <rPr>
        <vertAlign val="superscript"/>
        <sz val="9"/>
        <color indexed="8"/>
        <rFont val="Franklin Gothic Book"/>
        <family val="2"/>
      </rPr>
      <t>2</t>
    </r>
  </si>
  <si>
    <t>Energisnåla armaturer, J/N:</t>
  </si>
  <si>
    <t>j</t>
  </si>
  <si>
    <t>Elvärmd byggnad, J/N:</t>
  </si>
  <si>
    <t>Solceller</t>
  </si>
  <si>
    <r>
      <t>m</t>
    </r>
    <r>
      <rPr>
        <vertAlign val="superscript"/>
        <sz val="11"/>
        <color indexed="8"/>
        <rFont val="Franklin Gothic Book"/>
        <family val="2"/>
      </rPr>
      <t>2</t>
    </r>
  </si>
  <si>
    <t>Installerad eleffekt för värme och varmvatten:</t>
  </si>
  <si>
    <t>Datum:</t>
  </si>
  <si>
    <t>År 1</t>
  </si>
  <si>
    <t>Beräknad enl. relations-handling</t>
  </si>
  <si>
    <t>Uppmätt/ levererad</t>
  </si>
  <si>
    <t>Normaliserad med schablon</t>
  </si>
  <si>
    <t>Normaliserad med upprepad energiberäk-ning</t>
  </si>
  <si>
    <r>
      <t>kWh/m</t>
    </r>
    <r>
      <rPr>
        <vertAlign val="superscript"/>
        <sz val="10"/>
        <rFont val="Franklin Gothic Demi"/>
        <family val="2"/>
      </rPr>
      <t xml:space="preserve">2 </t>
    </r>
    <r>
      <rPr>
        <sz val="10"/>
        <rFont val="Franklin Gothic Demi"/>
        <family val="2"/>
      </rPr>
      <t>A</t>
    </r>
    <r>
      <rPr>
        <vertAlign val="subscript"/>
        <sz val="10"/>
        <rFont val="Franklin Gothic Demi"/>
        <family val="2"/>
      </rPr>
      <t>temp</t>
    </r>
  </si>
  <si>
    <r>
      <t>kWh/m</t>
    </r>
    <r>
      <rPr>
        <vertAlign val="superscript"/>
        <sz val="10"/>
        <color indexed="8"/>
        <rFont val="Franklin Gothic Demi"/>
        <family val="2"/>
      </rPr>
      <t xml:space="preserve">2 </t>
    </r>
    <r>
      <rPr>
        <sz val="10"/>
        <color indexed="8"/>
        <rFont val="Franklin Gothic Demi"/>
        <family val="2"/>
      </rPr>
      <t>A</t>
    </r>
    <r>
      <rPr>
        <vertAlign val="subscript"/>
        <sz val="10"/>
        <color indexed="8"/>
        <rFont val="Franklin Gothic Demi"/>
        <family val="2"/>
      </rPr>
      <t>temp</t>
    </r>
  </si>
  <si>
    <t>Värme exkl. tappvarmvatten och VVC</t>
  </si>
  <si>
    <t>Tappvarmvatten</t>
  </si>
  <si>
    <t>Elkomfortkyla</t>
  </si>
  <si>
    <t>Fjärrkomfortkyla</t>
  </si>
  <si>
    <t>Driftel exkl. värme och kyla</t>
  </si>
  <si>
    <t>Verksamhetsenergi/hushållsenergi</t>
  </si>
  <si>
    <t>Pellets</t>
  </si>
  <si>
    <t>Borrhål</t>
  </si>
  <si>
    <t>Frikyla</t>
  </si>
  <si>
    <t>Egenproducerad el</t>
  </si>
  <si>
    <t>El</t>
  </si>
  <si>
    <t>Ytjord</t>
  </si>
  <si>
    <t>Solvärme</t>
  </si>
  <si>
    <t>Gas</t>
  </si>
  <si>
    <t>Sjö</t>
  </si>
  <si>
    <t>Specifik energianvändning</t>
  </si>
  <si>
    <t>Dela upp per energibärare?</t>
  </si>
  <si>
    <t>Ved</t>
  </si>
  <si>
    <t>Uteluft</t>
  </si>
  <si>
    <t>Olja</t>
  </si>
  <si>
    <t>Frånluft</t>
  </si>
  <si>
    <t>År 2</t>
  </si>
  <si>
    <t>År 3</t>
  </si>
  <si>
    <t>Normaliseringsunderlag för innetemperatur och hushålls-/verksamhetsenergi</t>
  </si>
  <si>
    <t>Normalisering av energi för tappvarmvatten</t>
  </si>
  <si>
    <t>Verkningsgrader TVV enligt BEN2</t>
  </si>
  <si>
    <t xml:space="preserve">Inmatningssida för mätvärden och beräknade värden </t>
  </si>
  <si>
    <t>Indatavärden</t>
  </si>
  <si>
    <t>Enhet</t>
  </si>
  <si>
    <t>Beräknad brukarindata</t>
  </si>
  <si>
    <t>Uppmätt brukarindata</t>
  </si>
  <si>
    <t>Avvikelse brukarindata</t>
  </si>
  <si>
    <t>TVV vid normalt brukande</t>
  </si>
  <si>
    <t>Med korrigering för energisnåla armaturer</t>
  </si>
  <si>
    <t>Tillgodoräk-nad solvärme eller avloppsvärme-växlare</t>
  </si>
  <si>
    <t>Normalt tappvarm-vatten med korrigering för verkningsgrad m.m.</t>
  </si>
  <si>
    <t>Uppmätt tappvarm-vatten</t>
  </si>
  <si>
    <t>Innetemperatur, vinter</t>
  </si>
  <si>
    <t>Andel bostad</t>
  </si>
  <si>
    <t>ByggnadsID:</t>
  </si>
  <si>
    <t>Verksamhets-/Hushållsenergi</t>
  </si>
  <si>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</si>
  <si>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r>
      <t>A</t>
    </r>
    <r>
      <rPr>
        <vertAlign val="subscript"/>
        <sz val="11"/>
        <color theme="1"/>
        <rFont val="Franklin Gothic Demi"/>
        <family val="2"/>
      </rPr>
      <t>temp</t>
    </r>
  </si>
  <si>
    <t>Startmånad för mätning:</t>
  </si>
  <si>
    <t>Värme:</t>
  </si>
  <si>
    <t>Energieff. blandare</t>
  </si>
  <si>
    <t>Rullist JA/NEJ</t>
  </si>
  <si>
    <t>Metod för klimatkorrigering värme:</t>
  </si>
  <si>
    <t>Ort för klimatkorrigering:</t>
  </si>
  <si>
    <t>El:</t>
  </si>
  <si>
    <t>SCOP TVV</t>
  </si>
  <si>
    <t>Metod för klimatkorrigering kyla:</t>
  </si>
  <si>
    <t>Komfortkyla:</t>
  </si>
  <si>
    <t>Debiteringsmätare per energibärare</t>
  </si>
  <si>
    <t>VP</t>
  </si>
  <si>
    <t>Korrigering för BBR-avgränsning per energibärare</t>
  </si>
  <si>
    <t>Uppmätta VVC-förluster per energibärare</t>
  </si>
  <si>
    <t>Uppmätt tappvarmvatten per energibärare</t>
  </si>
  <si>
    <t>Uppvärmning per energibärare</t>
  </si>
  <si>
    <t>Brukar- och klimatnormalisering uppvärmning</t>
  </si>
  <si>
    <t>Jämför uppmätt och ber. uppv.</t>
  </si>
  <si>
    <t>Normalisering TVV</t>
  </si>
  <si>
    <t>Uppmätt el</t>
  </si>
  <si>
    <t>Jfr</t>
  </si>
  <si>
    <t>Uppmätt kyla</t>
  </si>
  <si>
    <t>Mätvärden:</t>
  </si>
  <si>
    <t>BVP inkl tvv</t>
  </si>
  <si>
    <t>Ute</t>
  </si>
  <si>
    <t>BVP</t>
  </si>
  <si>
    <t>inkl vvc</t>
  </si>
  <si>
    <t>Köpt fjärrvärme</t>
  </si>
  <si>
    <t>Köpt el</t>
  </si>
  <si>
    <t>Köpt fjärrkyla</t>
  </si>
  <si>
    <t>Köpt biobränsle</t>
  </si>
  <si>
    <t>Köpt fossil olja och gas</t>
  </si>
  <si>
    <t>El till värmepump</t>
  </si>
  <si>
    <t>Korrigering BBR-avgränsn. fjärrvärme</t>
  </si>
  <si>
    <t>Korrigering BBR-avgränsn. el</t>
  </si>
  <si>
    <t>Korrigering BBR-avgränsn. fjärrkyla</t>
  </si>
  <si>
    <t>Korrigering BBR-avgränsn. biobränsle</t>
  </si>
  <si>
    <t>Korrigering BBR-avgränsn. olja och gas</t>
  </si>
  <si>
    <t>VVC-förluster fjärrvärme</t>
  </si>
  <si>
    <t>VVC-förluster el</t>
  </si>
  <si>
    <t>VVC-förluster biobränsle</t>
  </si>
  <si>
    <t>VVC-förluster olja och gas</t>
  </si>
  <si>
    <t>Tappvarm-vatten-användn. från volymmät-ning</t>
  </si>
  <si>
    <t>Tappvarm-vatten fjärrvärme</t>
  </si>
  <si>
    <t>Tappvarm-vatten el</t>
  </si>
  <si>
    <t>Tappvarm-vatten biobränsle</t>
  </si>
  <si>
    <t>Tappvarm-vatten olja och gas</t>
  </si>
  <si>
    <t>Tappvarm-vatten återvinning och solbidrag</t>
  </si>
  <si>
    <t>Uppvärm-ning  fjärrvärme</t>
  </si>
  <si>
    <t>Uppvärm-ning el</t>
  </si>
  <si>
    <t>Uppvärm-ning biobränsle</t>
  </si>
  <si>
    <t>Uppvärm-ning olja och gas</t>
  </si>
  <si>
    <t>Summa uppvärm-ning</t>
  </si>
  <si>
    <t>Korrigering till  normal inne-temperatur</t>
  </si>
  <si>
    <t>Korrigering till normal hushållsel/ verksamhets-el</t>
  </si>
  <si>
    <t>Värme- divisor</t>
  </si>
  <si>
    <t>Beräknad uppvärmning per månad (exkl VVC)</t>
  </si>
  <si>
    <t>Solvärme till upp-värmning</t>
  </si>
  <si>
    <t>Korrigering BBR-avgränsning</t>
  </si>
  <si>
    <t>Summa uppmätt tappvarm-vatten</t>
  </si>
  <si>
    <t>Korr för BBR-avgränsning</t>
  </si>
  <si>
    <t xml:space="preserve">Fastighetsel </t>
  </si>
  <si>
    <t>Beräknad fastighetsel</t>
  </si>
  <si>
    <t>Egen-producerad el</t>
  </si>
  <si>
    <t>Verksamhetsel/Hushållsel</t>
  </si>
  <si>
    <t>Köpt elkyla</t>
  </si>
  <si>
    <t>Process-elkyla</t>
  </si>
  <si>
    <t>Komfortkyla fjärrkyla</t>
  </si>
  <si>
    <t>Komfortkyla elkyla</t>
  </si>
  <si>
    <t>Kyla-divisor</t>
  </si>
  <si>
    <t>Korrigerad och norma-liserad komfortkyla fjärrkyla</t>
  </si>
  <si>
    <t>Korrigerad och norma-liserad komfortkyla elkyla</t>
  </si>
  <si>
    <t>Beräknad komfortkyla fjärrkyla</t>
  </si>
  <si>
    <t>Beräknad komfortkyla elkyla</t>
  </si>
  <si>
    <t>Månad nr</t>
  </si>
  <si>
    <r>
      <t>m</t>
    </r>
    <r>
      <rPr>
        <vertAlign val="superscript"/>
        <sz val="11"/>
        <color theme="1"/>
        <rFont val="Franklin Gothic Demi"/>
        <family val="2"/>
      </rPr>
      <t>3</t>
    </r>
  </si>
  <si>
    <t>Helår</t>
  </si>
  <si>
    <t>Summa år 1</t>
  </si>
  <si>
    <t>Summa år 2</t>
  </si>
  <si>
    <t>Summa år 3</t>
  </si>
  <si>
    <t>Allmänt råd  (BEN 2, bostäder)</t>
  </si>
  <si>
    <t xml:space="preserve">En icke försumbar påverkan innebär att byggnadens energianvändning för </t>
  </si>
  <si>
    <t xml:space="preserve">uppvärmning och komfortkyla har påverkats mer än 3 kWh/m2 och år. </t>
  </si>
  <si>
    <t xml:space="preserve"> Andelen av hushållsenergin som kommer byggnaden tillgodo som värme </t>
  </si>
  <si>
    <t xml:space="preserve">under uppvärmningssäsongen kan antas till 70 procent.  </t>
  </si>
  <si>
    <t xml:space="preserve"> Normal användning av hushållsenergi är 30 kWh/m2 Atemp år och kan an-</t>
  </si>
  <si>
    <t xml:space="preserve">vändas som grund för normalisering av uppvärmningsenergi vid avvikande </t>
  </si>
  <si>
    <t xml:space="preserve">användning av hushållsenergi enligt </t>
  </si>
  <si>
    <t xml:space="preserve"> där </t>
  </si>
  <si>
    <t xml:space="preserve"> Ekorr: Korrigering av energi till uppvärmning (kWh/år). </t>
  </si>
  <si>
    <t xml:space="preserve"> Eh,avv: Positiv eller negativ skillnad mellan uppmätt värde och normal </t>
  </si>
  <si>
    <t xml:space="preserve">användning av hushållsenergi (kWh/m2år). </t>
  </si>
  <si>
    <t xml:space="preserve"> Ih: Andel av hushållsenergin som kommer byggnaden tillgodo som värme. </t>
  </si>
  <si>
    <t xml:space="preserve"> tuppv: Uppvärmningssäsongens längd (h). </t>
  </si>
  <si>
    <t xml:space="preserve"> ηuppv: Årsverkningsgrad hos värmekällan för uppvärmning. </t>
  </si>
  <si>
    <t xml:space="preserve">(BFS 2017:6). </t>
  </si>
  <si>
    <t>Verifieringsunderlag för upprepad energiberäkning</t>
  </si>
  <si>
    <t>Använd denna sida för att dokumentera brukarindata (tabell 1) och utdata vid normalisering med upprepad energiberäkning enligt BEN (tabell 2). Korrigeringsdivisorerna räknas ut i tabell 2.</t>
  </si>
  <si>
    <t xml:space="preserve">Tabell 1. Dokumenterande underlag för korrigering av avvikelser i brukande </t>
  </si>
  <si>
    <t>Icke försumbar avvikelse</t>
  </si>
  <si>
    <t>&gt;±3</t>
  </si>
  <si>
    <t>&gt;±1,0</t>
  </si>
  <si>
    <t>Innetemperatur, sommar</t>
  </si>
  <si>
    <t>Drifttider, vardagar</t>
  </si>
  <si>
    <t>h</t>
  </si>
  <si>
    <t>Drifttider, helger</t>
  </si>
  <si>
    <t>Luftflöden, närvaro</t>
  </si>
  <si>
    <r>
      <t>l/s,m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</si>
  <si>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Luftflöden ej närvaro</t>
  </si>
  <si>
    <t xml:space="preserve">&gt;±3 </t>
  </si>
  <si>
    <t>Övrigt, ange</t>
  </si>
  <si>
    <t>Tabell 2. Resultat för korrigering vid beräkning med upprepad dynamisk energiberäkning</t>
  </si>
  <si>
    <t>Energiprestandapåverkan utdata</t>
  </si>
  <si>
    <t>Beräknat enl. relationshandling</t>
  </si>
  <si>
    <t>Beräknat för år 1</t>
  </si>
  <si>
    <t>Korrigerings-divisor</t>
  </si>
  <si>
    <r>
      <t>kWh/m</t>
    </r>
    <r>
      <rPr>
        <vertAlign val="superscript"/>
        <sz val="10"/>
        <color indexed="8"/>
        <rFont val="Calibri"/>
        <family val="2"/>
      </rPr>
      <t>2</t>
    </r>
    <r>
      <rPr>
        <sz val="10"/>
        <color indexed="8"/>
        <rFont val="Calibri"/>
        <family val="2"/>
      </rPr>
      <t xml:space="preserve"> A</t>
    </r>
    <r>
      <rPr>
        <vertAlign val="subscript"/>
        <sz val="10"/>
        <color indexed="8"/>
        <rFont val="Calibri"/>
        <family val="2"/>
      </rPr>
      <t>temp</t>
    </r>
  </si>
  <si>
    <r>
      <t>kWh/m</t>
    </r>
    <r>
      <rPr>
        <vertAlign val="superscript"/>
        <sz val="10"/>
        <color indexed="8"/>
        <rFont val="Franklin Gothic Demi"/>
        <family val="2"/>
      </rPr>
      <t>2</t>
    </r>
    <r>
      <rPr>
        <sz val="10"/>
        <color indexed="8"/>
        <rFont val="Franklin Gothic Demi"/>
        <family val="2"/>
      </rPr>
      <t xml:space="preserve"> A</t>
    </r>
    <r>
      <rPr>
        <vertAlign val="subscript"/>
        <sz val="10"/>
        <color indexed="8"/>
        <rFont val="Franklin Gothic Demi"/>
        <family val="2"/>
      </rPr>
      <t>temp</t>
    </r>
  </si>
  <si>
    <t>Uppvärmning exkl TVV och VVC</t>
  </si>
  <si>
    <t>Elkyla</t>
  </si>
  <si>
    <t>Driftel exkl värme och kyla</t>
  </si>
  <si>
    <t>ÅR 2</t>
  </si>
  <si>
    <t>Beräknat för år 2</t>
  </si>
  <si>
    <t>Beräknat för år 3</t>
  </si>
  <si>
    <t>Primärenergitalsberäkning från beräknings- och mätresultat</t>
  </si>
  <si>
    <t>Fliken kan nog döljas senare.</t>
  </si>
  <si>
    <t>Elvärmd byggnad J/N</t>
  </si>
  <si>
    <r>
      <t>A</t>
    </r>
    <r>
      <rPr>
        <vertAlign val="subscript"/>
        <sz val="11"/>
        <color theme="1"/>
        <rFont val="Calibri"/>
        <family val="2"/>
        <scheme val="minor"/>
      </rPr>
      <t>temp</t>
    </r>
  </si>
  <si>
    <r>
      <t>F</t>
    </r>
    <r>
      <rPr>
        <vertAlign val="subscript"/>
        <sz val="11"/>
        <color theme="1"/>
        <rFont val="Calibri"/>
        <family val="2"/>
        <scheme val="minor"/>
      </rPr>
      <t>geo</t>
    </r>
  </si>
  <si>
    <t>Verifierat genom mätning år 1</t>
  </si>
  <si>
    <t>Verifierat genom mätning år 2</t>
  </si>
  <si>
    <t>Verifierat genom mätning år 3</t>
  </si>
  <si>
    <t>Viktningsfaktorer, VFi (PEi)</t>
  </si>
  <si>
    <t>Primärenergital (BBR29, viktat):</t>
  </si>
  <si>
    <r>
      <t>kWh/m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r>
      <rPr>
        <sz val="11"/>
        <color theme="1"/>
        <rFont val="Calibri"/>
        <family val="2"/>
        <scheme val="minor"/>
      </rPr>
      <t>år</t>
    </r>
  </si>
  <si>
    <t>BBR 25</t>
  </si>
  <si>
    <t>BBR 29</t>
  </si>
  <si>
    <t>Varav:</t>
  </si>
  <si>
    <t>Uppvärmning</t>
  </si>
  <si>
    <t>VVC</t>
  </si>
  <si>
    <t>Tappvv</t>
  </si>
  <si>
    <t>Biobränsle</t>
  </si>
  <si>
    <t>Olja &amp; gas</t>
  </si>
  <si>
    <t>Primärenergital (BBR25, viktat):</t>
  </si>
  <si>
    <t>Funkar för en energibärare, fixa om fler.</t>
  </si>
  <si>
    <t>Specifik energianvändning (oviktad):</t>
  </si>
  <si>
    <t>Mätplan - underlag för dokumentation</t>
  </si>
  <si>
    <t>Mätare för värme och tappvarmvatten</t>
  </si>
  <si>
    <t>Mätartyp</t>
  </si>
  <si>
    <t xml:space="preserve">Placering </t>
  </si>
  <si>
    <t>ID nr</t>
  </si>
  <si>
    <t>Betjäningsområde</t>
  </si>
  <si>
    <t>Mätenhet</t>
  </si>
  <si>
    <t>Mätt/Fördelat M/F</t>
  </si>
  <si>
    <t>Mätare för kyla</t>
  </si>
  <si>
    <t>Placering</t>
  </si>
  <si>
    <t>Mätare för el</t>
  </si>
  <si>
    <t>Mätarkonstant</t>
  </si>
  <si>
    <t>KOMMUNNAMN</t>
  </si>
  <si>
    <t>Välj källa</t>
  </si>
  <si>
    <t>Värmepumpskälla</t>
  </si>
  <si>
    <t>Ale</t>
  </si>
  <si>
    <t>Alingsås</t>
  </si>
  <si>
    <t>Alvesta</t>
  </si>
  <si>
    <t>Naturgas</t>
  </si>
  <si>
    <t>Aneby</t>
  </si>
  <si>
    <t>Mark</t>
  </si>
  <si>
    <t>Arboga</t>
  </si>
  <si>
    <t>Arjeplog</t>
  </si>
  <si>
    <t>Arvidsjaur</t>
  </si>
  <si>
    <t>Arvika</t>
  </si>
  <si>
    <t>Askersund</t>
  </si>
  <si>
    <t>Avesta</t>
  </si>
  <si>
    <t>Bengtsfors</t>
  </si>
  <si>
    <t>Energibärare:</t>
  </si>
  <si>
    <t>Bjurholm</t>
  </si>
  <si>
    <t>Bjuv</t>
  </si>
  <si>
    <t>Boden</t>
  </si>
  <si>
    <t>Bollebygd</t>
  </si>
  <si>
    <t>Byggnadskategori</t>
  </si>
  <si>
    <t>En- och tvåbostadshus</t>
  </si>
  <si>
    <t>Flerbostadshus</t>
  </si>
  <si>
    <t>Lokal</t>
  </si>
  <si>
    <t>Bollnäs</t>
  </si>
  <si>
    <t>Byggnadskomplexitet</t>
  </si>
  <si>
    <t>Enkel</t>
  </si>
  <si>
    <t>Komplex</t>
  </si>
  <si>
    <t>Borgholm</t>
  </si>
  <si>
    <t>Byggnadstyp</t>
  </si>
  <si>
    <t>Friliggande</t>
  </si>
  <si>
    <t>Sammanbyggd</t>
  </si>
  <si>
    <t>Borlänge</t>
  </si>
  <si>
    <t>BBRversion</t>
  </si>
  <si>
    <t>Borås</t>
  </si>
  <si>
    <t>Botkyrka</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</si>
  <si>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</si>
  <si>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</si>
  <si>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</si>
  <si>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</si>
  <si>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</si>
  <si>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</si>
  <si>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</si>
  <si>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</si>
  <si>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</si>
  <si>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</si>
  <si>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</si>
  <si>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</si>
  <si>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</si>
  <si>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</si>
  <si>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</si>
  <si>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</si>
  <si>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</si>
  <si>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</si>
  <si>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</si>
  <si>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</si>
  <si>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</si>
  <si>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</si>
  <si>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</si>
  <si>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</si>
  <si>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</si>
  <si>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</si>
  <si>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</si>
  <si>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</si>
  <si>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</si>
  <si>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</si>
  <si>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</si>
  <si>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</si>
  <si>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</si>
  <si>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</si>
  <si>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Gällivare</t>
  </si>
  <si>
    <t>Gävle</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</si>
  <si>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</si>
  <si>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</si>
  <si>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</si>
  <si>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</si>
  <si>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</si>
  <si>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</si>
  <si>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</si>
  <si>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</si>
  <si>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</si>
  <si>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</si>
  <si>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</si>
  <si>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</si>
  <si>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</si>
  <si>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</si>
  <si>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</si>
  <si>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</si>
  <si>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</si>
  <si>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</si>
  <si>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</si>
  <si>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</si>
  <si>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</si>
  <si>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</si>
  <si>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</si>
  <si>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</si>
  <si>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</si>
  <si>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</si>
  <si>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</si>
  <si>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</si>
  <si>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</si>
  <si>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</si>
  <si>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</si>
  <si>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</si>
  <si>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</si>
  <si>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</si>
  <si>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</si>
  <si>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</si>
  <si>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</si>
  <si>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</si>
  <si>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</si>
  <si>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</si>
  <si>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</si>
  <si>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</si>
  <si>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</si>
  <si>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</si>
  <si>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</si>
  <si>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</si>
  <si>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</si>
  <si>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</si>
  <si>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</si>
  <si>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</si>
  <si>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</si>
  <si>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</si>
  <si>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</si>
  <si>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</si>
  <si>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</si>
  <si>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</si>
  <si>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</si>
  <si>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</si>
  <si>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</si>
  <si>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</si>
  <si>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</si>
  <si>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</si>
  <si>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</si>
  <si>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</si>
  <si>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</si>
  <si>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</si>
  <si>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</si>
  <si>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</si>
  <si>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</si>
  <si>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</si>
  <si>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</si>
  <si>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</si>
  <si>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</si>
  <si>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</si>
  <si>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</si>
  <si>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</si>
  <si>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</si>
  <si>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t>
  </si>
  <si>
    <t>Malå</t>
  </si>
  <si>
    <t>Mariestad</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</si>
  <si>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</si>
  <si>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</si>
  <si>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</si>
  <si>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</si>
  <si>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</si>
  <si>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</si>
  <si>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</si>
  <si>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</si>
  <si>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</si>
  <si>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</si>
  <si>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</si>
  <si>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</si>
  <si>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</si>
  <si>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</si>
  <si>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</si>
  <si>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</si>
  <si>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</si>
  <si>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</si>
  <si>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</si>
  <si>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</si>
  <si>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</si>
  <si>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</si>
  <si>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</si>
  <si>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</si>
  <si>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</si>
  <si>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</si>
  <si>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</si>
  <si>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</si>
  <si>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</si>
  <si>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</si>
  <si>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</si>
  <si>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</si>
  <si>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</si>
  <si>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</si>
  <si>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</si>
  <si>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</si>
  <si>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</si>
  <si>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</si>
  <si>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</si>
  <si>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</si>
  <si>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</si>
  <si>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</si>
  <si>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</si>
  <si>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</si>
  <si>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</si>
  <si>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</si>
  <si>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</si>
  <si>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</si>
  <si>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</si>
  <si>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</si>
  <si>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</si>
  <si>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</si>
  <si>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</si>
  <si>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</si>
  <si>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</si>
  <si>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</si>
  <si>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</si>
  <si>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</si>
  <si>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</si>
  <si>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</si>
  <si>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</si>
  <si>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</si>
  <si>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</si>
  <si>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</si>
  <si>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</si>
  <si>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</si>
  <si>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</si>
  <si>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</si>
  <si>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</si>
  <si>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</si>
  <si>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</si>
  <si>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</si>
  <si>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</si>
  <si>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</si>
  <si>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</si>
  <si>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</si>
  <si>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</si>
  <si>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</si>
  <si>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</si>
  <si>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</si>
  <si>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</si>
  <si>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</si>
  <si>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</si>
  <si>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</si>
  <si>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</si>
  <si>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</si>
  <si>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</si>
  <si>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</si>
  <si>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</si>
  <si>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</si>
  <si>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</si>
  <si>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</si>
  <si>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</si>
  <si>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</si>
  <si>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</si>
  <si>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</si>
  <si>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</si>
  <si>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</si>
  <si>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</si>
  <si>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</si>
  <si>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Upplands-Bro</t>
  </si>
  <si>
    <t>Upplands Väsby</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</si>
  <si>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</si>
  <si>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</si>
  <si>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</si>
  <si>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</si>
  <si>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</si>
  <si>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</si>
  <si>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</si>
  <si>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</si>
  <si>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</si>
  <si>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</si>
  <si>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</si>
  <si>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</si>
  <si>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</si>
  <si>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</si>
  <si>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</si>
  <si>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</si>
  <si>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</si>
  <si>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</si>
  <si>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</si>
  <si>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</si>
  <si>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</si>
  <si>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</si>
  <si>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</si>
  <si>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</si>
  <si>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</si>
  <si>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</si>
  <si>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</si>
  <si>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</si>
  <si>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</si>
  <si>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</si>
  <si>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</si>
  <si>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</si>
  <si>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</si>
  <si>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</si>
  <si>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</si>
  <si>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</si>
  <si>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</si>
  <si>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</si>
  <si>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</si>
  <si>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</si>
  <si>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</si>
  <si>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</si>
  <si>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</si>
  <si>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</si>
  <si>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</si>
  <si>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</si>
  <si>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</si>
  <si>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</si>
  <si>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</si>
  <si>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r>
      <rPr>
        <b/>
        <sz val="10"/>
        <rFont val="Franklin Gothic Book"/>
        <family val="2"/>
      </rPr>
      <t>Värme</t>
    </r>
    <r>
      <rPr>
        <sz val="10"/>
        <rFont val="Franklin Gothic Book"/>
        <family val="2"/>
      </rPr>
      <t xml:space="preserve"> levererad av värmepumpar.</t>
    </r>
  </si>
  <si>
    <r>
      <rPr>
        <b/>
        <sz val="10"/>
        <color theme="1"/>
        <rFont val="Franklin Gothic Book"/>
        <family val="2"/>
      </rPr>
      <t>Nettovärmeenergi</t>
    </r>
    <r>
      <rPr>
        <sz val="10"/>
        <color theme="1"/>
        <rFont val="Franklin Gothic Book"/>
        <family val="2"/>
      </rPr>
      <t xml:space="preserve"> (UHM 1A, rad 10) </t>
    </r>
  </si>
  <si>
    <t>el till belysning av tomtmark och gårdar</t>
  </si>
  <si>
    <t>el till gårdshus, fristående garage och fristående tvättstuga</t>
  </si>
  <si>
    <t>el till värme av gångvägar och trottoarer utanför byggnad</t>
  </si>
  <si>
    <t>el till tvättstuga i byggnad (exklusive fast belysning)</t>
  </si>
  <si>
    <t xml:space="preserve"> Ange även vad som utgör:</t>
  </si>
  <si>
    <t>el till elbilsladdare, motorvärmare eller liknande</t>
  </si>
  <si>
    <t>… varav el till värme i hängrännor, stuprör, bjälklagskanter</t>
  </si>
  <si>
    <t>Övergripande säkerhetsmarginal enligt BEN (utöver vad som ingår i vädring och förluster ovan)</t>
  </si>
  <si>
    <t>Period nr</t>
  </si>
  <si>
    <t>Total area</t>
  </si>
  <si>
    <t>Kan kryssen styra vilka kolumner som visas i inmatningen av mätvärden?</t>
  </si>
  <si>
    <t>Övriga mätare</t>
  </si>
  <si>
    <t>Instruktion behövs för qm, speciellt vid VAV-system. Bättre beräkningshjälp med flera zoner ?</t>
  </si>
  <si>
    <r>
      <rPr>
        <b/>
        <sz val="10"/>
        <color theme="1"/>
        <rFont val="Franklin Gothic Book"/>
        <family val="2"/>
      </rPr>
      <t xml:space="preserve">EL </t>
    </r>
    <r>
      <rPr>
        <sz val="10"/>
        <color theme="1"/>
        <rFont val="Franklin Gothic Book"/>
        <family val="2"/>
      </rPr>
      <t xml:space="preserve">till </t>
    </r>
    <r>
      <rPr>
        <b/>
        <sz val="10"/>
        <color theme="1"/>
        <rFont val="Franklin Gothic Book"/>
        <family val="2"/>
      </rPr>
      <t>komfortkyla</t>
    </r>
    <r>
      <rPr>
        <sz val="10"/>
        <color theme="1"/>
        <rFont val="Franklin Gothic Book"/>
        <family val="2"/>
      </rPr>
      <t xml:space="preserve"> (om ej inräknast i fastighetsenergi).</t>
    </r>
  </si>
  <si>
    <t>I summerad el för fastighetsenergi (rad 17), ange vad som utgör:</t>
  </si>
  <si>
    <r>
      <rPr>
        <b/>
        <sz val="10"/>
        <color theme="1"/>
        <rFont val="Franklin Gothic Book"/>
        <family val="2"/>
      </rPr>
      <t>Alternativ</t>
    </r>
    <r>
      <rPr>
        <sz val="10"/>
        <color theme="1"/>
        <rFont val="Franklin Gothic Book"/>
        <family val="2"/>
      </rPr>
      <t xml:space="preserve"> till rad 14 och 15. </t>
    </r>
    <r>
      <rPr>
        <b/>
        <sz val="10"/>
        <color theme="1"/>
        <rFont val="Franklin Gothic Book"/>
        <family val="2"/>
      </rPr>
      <t xml:space="preserve">EL </t>
    </r>
    <r>
      <rPr>
        <sz val="10"/>
        <color theme="1"/>
        <rFont val="Franklin Gothic Book"/>
        <family val="2"/>
      </rPr>
      <t>(till värmepump eller annat)</t>
    </r>
    <r>
      <rPr>
        <b/>
        <sz val="10"/>
        <color theme="1"/>
        <rFont val="Franklin Gothic Book"/>
        <family val="2"/>
      </rPr>
      <t xml:space="preserve"> för uppvärmning och tappvarmvatten</t>
    </r>
    <r>
      <rPr>
        <sz val="10"/>
        <color theme="1"/>
        <rFont val="Franklin Gothic Book"/>
        <family val="2"/>
      </rPr>
      <t>.</t>
    </r>
  </si>
  <si>
    <r>
      <rPr>
        <b/>
        <sz val="10"/>
        <color theme="1"/>
        <rFont val="Franklin Gothic Book"/>
        <family val="2"/>
      </rPr>
      <t xml:space="preserve">El- och värmeproduktion </t>
    </r>
    <r>
      <rPr>
        <sz val="10"/>
        <rFont val="Franklin Gothic Book"/>
        <family val="2"/>
      </rPr>
      <t xml:space="preserve">från </t>
    </r>
    <r>
      <rPr>
        <sz val="10"/>
        <color theme="1"/>
        <rFont val="Franklin Gothic Book"/>
        <family val="2"/>
      </rPr>
      <t>solceller, solvärme m.m.</t>
    </r>
  </si>
  <si>
    <r>
      <rPr>
        <b/>
        <sz val="10"/>
        <rFont val="Franklin Gothic Book"/>
        <family val="2"/>
      </rPr>
      <t>EL</t>
    </r>
    <r>
      <rPr>
        <sz val="10"/>
        <rFont val="Franklin Gothic Book"/>
        <family val="2"/>
      </rPr>
      <t xml:space="preserve"> (till värmepump eller annat) </t>
    </r>
    <r>
      <rPr>
        <b/>
        <sz val="10"/>
        <rFont val="Franklin Gothic Book"/>
        <family val="2"/>
      </rPr>
      <t>för tappvarmvatten</t>
    </r>
    <r>
      <rPr>
        <sz val="10"/>
        <rFont val="Franklin Gothic Book"/>
        <family val="2"/>
      </rPr>
      <t>. Alternativt se rad 16.</t>
    </r>
  </si>
  <si>
    <r>
      <rPr>
        <b/>
        <sz val="10"/>
        <rFont val="Franklin Gothic Book"/>
        <family val="2"/>
      </rPr>
      <t>EL</t>
    </r>
    <r>
      <rPr>
        <sz val="10"/>
        <rFont val="Franklin Gothic Book"/>
        <family val="2"/>
      </rPr>
      <t xml:space="preserve"> (till värmepump eller annat) </t>
    </r>
    <r>
      <rPr>
        <b/>
        <sz val="10"/>
        <rFont val="Franklin Gothic Book"/>
        <family val="2"/>
      </rPr>
      <t>för uppvärmning</t>
    </r>
    <r>
      <rPr>
        <sz val="10"/>
        <rFont val="Franklin Gothic Book"/>
        <family val="2"/>
      </rPr>
      <t>. Alternativt se rad 16.</t>
    </r>
  </si>
  <si>
    <t>EL till fastighetsenergi.</t>
  </si>
  <si>
    <r>
      <rPr>
        <b/>
        <sz val="10"/>
        <color theme="1"/>
        <rFont val="Franklin Gothic Book"/>
        <family val="2"/>
      </rPr>
      <t>Fjärrvärme eller bränslen</t>
    </r>
    <r>
      <rPr>
        <sz val="10"/>
        <color theme="1"/>
        <rFont val="Franklin Gothic Book"/>
        <family val="2"/>
      </rPr>
      <t xml:space="preserve"> </t>
    </r>
    <r>
      <rPr>
        <b/>
        <sz val="10"/>
        <color theme="1"/>
        <rFont val="Franklin Gothic Book"/>
        <family val="2"/>
      </rPr>
      <t>för normal användning av tappvarmvatten</t>
    </r>
    <r>
      <rPr>
        <sz val="10"/>
        <color theme="1"/>
        <rFont val="Franklin Gothic Book"/>
        <family val="2"/>
      </rPr>
      <t>.</t>
    </r>
  </si>
  <si>
    <r>
      <rPr>
        <b/>
        <sz val="10"/>
        <color theme="1"/>
        <rFont val="Franklin Gothic Book"/>
        <family val="2"/>
      </rPr>
      <t>Fjärrkyla</t>
    </r>
    <r>
      <rPr>
        <sz val="10"/>
        <color theme="1"/>
        <rFont val="Franklin Gothic Book"/>
        <family val="2"/>
      </rPr>
      <t xml:space="preserve"> till komfortkyla.</t>
    </r>
  </si>
  <si>
    <t>Beräkning och uppföljning av värmeförlusttal (VFT), enligt UHM och FEBY</t>
  </si>
  <si>
    <t xml:space="preserve">                                 Energihjälpen – Formulär för granskning och verifiering av energiprestanda för nya byggnader</t>
  </si>
  <si>
    <r>
      <t>kWh/m</t>
    </r>
    <r>
      <rPr>
        <vertAlign val="superscript"/>
        <sz val="10"/>
        <rFont val="Franklin Gothic Demi"/>
        <family val="2"/>
      </rPr>
      <t>2</t>
    </r>
    <r>
      <rPr>
        <sz val="10"/>
        <rFont val="Franklin Gothic Demi"/>
        <family val="2"/>
      </rPr>
      <t>A</t>
    </r>
    <r>
      <rPr>
        <vertAlign val="subscript"/>
        <sz val="10"/>
        <rFont val="Franklin Gothic Demi"/>
        <family val="2"/>
      </rPr>
      <t>temp</t>
    </r>
  </si>
  <si>
    <t>Normaliserad uppvärmning</t>
  </si>
  <si>
    <r>
      <t>kWh/m</t>
    </r>
    <r>
      <rPr>
        <vertAlign val="superscript"/>
        <sz val="10"/>
        <color indexed="8"/>
        <rFont val="Franklin Gothic Book"/>
        <family val="2"/>
      </rPr>
      <t>2</t>
    </r>
    <r>
      <rPr>
        <sz val="10"/>
        <color indexed="8"/>
        <rFont val="Franklin Gothic Book"/>
        <family val="2"/>
      </rPr>
      <t>A</t>
    </r>
    <r>
      <rPr>
        <vertAlign val="subscript"/>
        <sz val="10"/>
        <color indexed="8"/>
        <rFont val="Franklin Gothic Book"/>
        <family val="2"/>
      </rPr>
      <t>temp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</si>
</sst>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0" x14ac:knownFonts="1">
    <font>
      <sz val="11"/>
      <color theme="1"/>
      <name val="Calibri"/>
      <family val="2"/>
      <scheme val="minor"/>
    </font>
    <font>
      <sz val="8"/>
      <name val="Arial"/>
      <family val="2"/>
    </font>
    <font>
      <sz val="10"/>
      <color indexed="8"/>
      <name val="Franklin Gothic Book"/>
      <family val="2"/>
    </font>
    <font>
      <sz val="9"/>
      <color indexed="81"/>
      <name val="Tahoma"/>
      <family val="2"/>
    </font>
    <font>
      <sz val="9"/>
      <name val="Arial"/>
      <family val="2"/>
    </font>
    <font>
      <b/>
      <sz val="9"/>
      <name val="Arial"/>
      <family val="2"/>
    </font>
    <font>
      <sz val="11"/>
      <color indexed="8"/>
      <name val="Franklin Gothic Book"/>
      <family val="2"/>
    </font>
    <font>
      <sz val="11"/>
      <name val="Franklin Gothic Book"/>
      <family val="2"/>
    </font>
    <font>
      <vertAlign val="superscript"/>
      <sz val="11"/>
      <color indexed="8"/>
      <name val="Franklin Gothic Book"/>
      <family val="2"/>
    </font>
    <font>
      <vertAlign val="subscript"/>
      <sz val="11"/>
      <color indexed="8"/>
      <name val="Franklin Gothic Book"/>
      <family val="2"/>
    </font>
    <font>
      <sz val="12"/>
      <name val="Franklin Gothic Demi"/>
      <family val="2"/>
    </font>
    <font>
      <sz val="11"/>
      <name val="Franklin Gothic Demi"/>
      <family val="2"/>
    </font>
    <font>
      <vertAlign val="superscript"/>
      <sz val="10"/>
      <color indexed="8"/>
      <name val="Franklin Gothic Demi"/>
      <family val="2"/>
    </font>
    <font>
      <sz val="10"/>
      <color indexed="8"/>
      <name val="Franklin Gothic Demi"/>
      <family val="2"/>
    </font>
    <font>
      <vertAlign val="subscript"/>
      <sz val="10"/>
      <color indexed="8"/>
      <name val="Franklin Gothic Demi"/>
      <family val="2"/>
    </font>
    <font>
      <vertAlign val="superscript"/>
      <sz val="10"/>
      <color indexed="8"/>
      <name val="Franklin Gothic Book"/>
      <family val="2"/>
    </font>
    <font>
      <vertAlign val="subscript"/>
      <sz val="10"/>
      <color indexed="8"/>
      <name val="Franklin Gothic Book"/>
      <family val="2"/>
    </font>
    <font>
      <sz val="9"/>
      <name val="Franklin Gothic Book"/>
      <family val="2"/>
    </font>
    <font>
      <vertAlign val="superscript"/>
      <sz val="10"/>
      <color indexed="8"/>
      <name val="Calibri"/>
      <family val="2"/>
    </font>
    <font>
      <sz val="10"/>
      <color indexed="8"/>
      <name val="Calibri"/>
      <family val="2"/>
    </font>
    <font>
      <vertAlign val="subscript"/>
      <sz val="10"/>
      <color indexed="8"/>
      <name val="Calibri"/>
      <family val="2"/>
    </font>
    <font>
      <sz val="10"/>
      <color indexed="81"/>
      <name val="Franklin Gothic Book"/>
      <family val="2"/>
    </font>
    <font>
      <sz val="10"/>
      <color indexed="81"/>
      <name val="Franklin Gothic Demi"/>
      <family val="2"/>
    </font>
    <font>
      <sz val="11"/>
      <color theme="1"/>
      <name val="Franklin Gothic Book"/>
      <family val="2"/>
    </font>
    <font>
      <sz val="11"/>
      <name val="Calibri"/>
      <family val="2"/>
      <scheme val="minor"/>
    </font>
    <font>
      <sz val="10"/>
      <color theme="1"/>
      <name val="Calibri"/>
      <family val="2"/>
      <scheme val="minor"/>
    </font>
    <font>
      <b/>
      <sz val="11"/>
      <color theme="1"/>
      <name val="Calibri"/>
      <family val="2"/>
      <scheme val="minor"/>
    </font>
    <font>
      <sz val="11"/>
      <color theme="1"/>
      <name val="Franklin Gothic Demi"/>
      <family val="2"/>
    </font>
    <font>
      <sz val="10"/>
      <color theme="1"/>
      <name val="Franklin Gothic Demi"/>
      <family val="2"/>
    </font>
    <font>
      <sz val="16"/>
      <color theme="1"/>
      <name val="Franklin Gothic Demi"/>
      <family val="2"/>
    </font>
    <font>
      <sz val="10"/>
      <color theme="1"/>
      <name val="Franklin Gothic Book"/>
      <family val="2"/>
    </font>
    <font>
      <sz val="11"/>
      <color rgb="FFFF0000"/>
      <name val="Franklin Gothic Book"/>
      <family val="2"/>
    </font>
    <font>
      <sz val="14"/>
      <color theme="1"/>
      <name val="Franklin Gothic Demi"/>
      <family val="2"/>
    </font>
    <font>
      <sz val="11"/>
      <color rgb="FFFF0000"/>
      <name val="Franklin Gothic Demi"/>
      <family val="2"/>
    </font>
    <font>
      <sz val="11"/>
      <color rgb="FF99CCFF"/>
      <name val="Calibri"/>
      <family val="2"/>
      <scheme val="minor"/>
    </font>
    <font>
      <sz val="11"/>
      <color rgb="FFFF0000"/>
      <name val="Calibri"/>
      <family val="2"/>
      <scheme val="minor"/>
    </font>
    <font>
      <b/>
      <sz val="11"/>
      <color theme="1"/>
      <name val="Franklin Gothic Book"/>
      <family val="2"/>
    </font>
    <font>
      <sz val="8"/>
      <color theme="1"/>
      <name val="Franklin Gothic Book"/>
      <family val="2"/>
    </font>
    <font>
      <sz val="10"/>
      <name val="Franklin Gothic Demi"/>
      <family val="2"/>
    </font>
    <font>
      <vertAlign val="superscript"/>
      <sz val="10"/>
      <name val="Franklin Gothic Demi"/>
      <family val="2"/>
    </font>
    <font>
      <vertAlign val="subscript"/>
      <sz val="10"/>
      <name val="Franklin Gothic Demi"/>
      <family val="2"/>
    </font>
    <font>
      <sz val="8"/>
      <name val="Calibri"/>
      <family val="2"/>
      <scheme val="minor"/>
    </font>
    <font>
      <sz val="9"/>
      <color theme="1"/>
      <name val="Franklin Gothic Book"/>
      <family val="2"/>
    </font>
    <font>
      <b/>
      <sz val="10"/>
      <color theme="1"/>
      <name val="Franklin Gothic Book"/>
      <family val="2"/>
    </font>
    <font>
      <vertAlign val="superscript"/>
      <sz val="9"/>
      <color indexed="8"/>
      <name val="Franklin Gothic Book"/>
      <family val="2"/>
    </font>
    <font>
      <sz val="12"/>
      <color theme="1"/>
      <name val="Franklin Gothic Demi"/>
      <family val="2"/>
    </font>
    <font>
      <sz val="10"/>
      <color rgb="FFFF0000"/>
      <name val="Franklin Gothic Book"/>
      <family val="2"/>
    </font>
    <font>
      <b/>
      <sz val="9"/>
      <color indexed="81"/>
      <name val="Tahoma"/>
      <family val="2"/>
    </font>
    <font>
      <sz val="8"/>
      <color rgb="FFFF0000"/>
      <name val="Arial"/>
      <family val="2"/>
    </font>
    <font>
      <sz val="10"/>
      <name val="Franklin Gothic Book"/>
      <family val="2"/>
    </font>
    <font>
      <sz val="14"/>
      <color rgb="FFFFFFFF"/>
      <name val="Franklin Gothic Demi"/>
      <family val="2"/>
    </font>
    <font>
      <vertAlign val="subscript"/>
      <sz val="10"/>
      <color theme="1"/>
      <name val="Franklin Gothic Book"/>
      <family val="2"/>
    </font>
    <font>
      <sz val="8"/>
      <color rgb="FF000000"/>
      <name val="Franklin Gothic Book"/>
      <family val="2"/>
    </font>
    <font>
      <vertAlign val="superscript"/>
      <sz val="10"/>
      <color theme="1"/>
      <name val="Franklin Gothic Book"/>
      <family val="2"/>
    </font>
    <font>
      <vertAlign val="superscript"/>
      <sz val="14"/>
      <color rgb="FFFFFFFF"/>
      <name val="Franklin Gothic Demi"/>
      <family val="2"/>
    </font>
    <font>
      <vertAlign val="subscript"/>
      <sz val="14"/>
      <color rgb="FFFFFFFF"/>
      <name val="Franklin Gothic Demi"/>
      <family val="2"/>
    </font>
    <font>
      <vertAlign val="superscript"/>
      <sz val="10"/>
      <color theme="1"/>
      <name val="Franklin Gothic Demi"/>
      <family val="2"/>
    </font>
    <font>
      <vertAlign val="subscript"/>
      <sz val="10"/>
      <color theme="1"/>
      <name val="Franklin Gothic Demi"/>
      <family val="2"/>
    </font>
    <font>
      <sz val="10"/>
      <color rgb="FF000000"/>
      <name val="Franklin Gothic Demi"/>
      <family val="2"/>
    </font>
    <font>
      <vertAlign val="subscript"/>
      <sz val="10"/>
      <color rgb="FF000000"/>
      <name val="Franklin Gothic Demi"/>
      <family val="2"/>
    </font>
    <font>
      <sz val="10"/>
      <color rgb="FF000000"/>
      <name val="Franklin Gothic Book"/>
      <family val="2"/>
    </font>
    <font>
      <vertAlign val="superscript"/>
      <sz val="10"/>
      <color rgb="FF000000"/>
      <name val="Franklin Gothic Book"/>
      <family val="2"/>
    </font>
    <font>
      <sz val="9"/>
      <color rgb="FFFF0000"/>
      <name val="Franklin Gothic Book"/>
      <family val="2"/>
    </font>
    <font>
      <sz val="9"/>
      <color indexed="81"/>
      <name val="Franklin Gothic Book"/>
      <family val="2"/>
    </font>
    <font>
      <sz val="11"/>
      <color theme="1"/>
      <name val="Calibri"/>
      <family val="2"/>
      <scheme val="minor"/>
    </font>
    <font>
      <b/>
      <sz val="14"/>
      <color theme="1"/>
      <name val="Calibri"/>
      <family val="2"/>
      <scheme val="minor"/>
    </font>
    <font>
      <vertAlign val="subscript"/>
      <sz val="11"/>
      <color theme="1"/>
      <name val="Calibri"/>
      <family val="2"/>
      <scheme val="minor"/>
    </font>
    <font>
      <vertAlign val="superscript"/>
      <sz val="11"/>
      <color theme="1"/>
      <name val="Calibri"/>
      <family val="2"/>
      <scheme val="minor"/>
    </font>
    <font>
      <sz val="12"/>
      <color theme="1"/>
      <name val="Calibri"/>
      <family val="2"/>
      <scheme val="minor"/>
    </font>
    <font>
      <sz val="8"/>
      <color theme="1"/>
      <name val="Franklin Gothic Demi"/>
      <family val="2"/>
    </font>
    <font>
      <sz val="14"/>
      <name val="Franklin Gothic Demi"/>
      <family val="2"/>
    </font>
    <font>
      <sz val="16"/>
      <color rgb="FFFF0000"/>
      <name val="Calibri"/>
      <family val="2"/>
      <scheme val="minor"/>
    </font>
    <font>
      <sz val="12"/>
      <name val="Calibri"/>
      <family val="2"/>
      <scheme val="minor"/>
    </font>
    <font>
      <vertAlign val="subscript"/>
      <sz val="11"/>
      <color theme="1"/>
      <name val="Franklin Gothic Demi"/>
      <family val="2"/>
    </font>
    <font>
      <sz val="8"/>
      <color rgb="FFFF0000"/>
      <name val="Franklin Gothic Book"/>
      <family val="2"/>
    </font>
    <font>
      <sz val="10.5"/>
      <color rgb="FF000000"/>
      <name val="Franklin Gothic Demi"/>
      <family val="2"/>
    </font>
    <font>
      <sz val="11"/>
      <color rgb="FF000000"/>
      <name val="Franklin Gothic Book"/>
      <family val="2"/>
    </font>
    <font>
      <sz val="10"/>
      <color theme="3"/>
      <name val="Franklin Gothic Book"/>
      <family val="2"/>
    </font>
    <font>
      <vertAlign val="superscript"/>
      <sz val="10"/>
      <name val="Franklin Gothic Book"/>
      <family val="2"/>
    </font>
    <font>
      <vertAlign val="subscript"/>
      <sz val="10"/>
      <name val="Franklin Gothic Book"/>
      <family val="2"/>
    </font>
    <font>
      <sz val="10"/>
      <color theme="6" tint="-0.499984740745262"/>
      <name val="Franklin Gothic Book"/>
      <family val="2"/>
    </font>
    <font>
      <vertAlign val="superscript"/>
      <sz val="11"/>
      <color theme="1"/>
      <name val="Franklin Gothic Demi"/>
      <family val="2"/>
    </font>
    <font>
      <vertAlign val="subscript"/>
      <sz val="10"/>
      <color theme="3"/>
      <name val="Franklin Gothic Book"/>
      <family val="2"/>
    </font>
    <font>
      <vertAlign val="subscript"/>
      <sz val="10"/>
      <color theme="6" tint="-0.499984740745262"/>
      <name val="Franklin Gothic Book"/>
      <family val="2"/>
    </font>
    <font>
      <vertAlign val="subscript"/>
      <sz val="11"/>
      <color theme="1"/>
      <name val="Franklin Gothic Book"/>
      <family val="2"/>
    </font>
    <font>
      <sz val="11"/>
      <color indexed="81"/>
      <name val="Franklin Gothic Book"/>
      <family val="2"/>
    </font>
    <font>
      <sz val="12"/>
      <color rgb="FF000000"/>
      <name val="Franklin Gothic Demi"/>
      <family val="2"/>
    </font>
    <font>
      <vertAlign val="superscript"/>
      <sz val="10"/>
      <color rgb="FF000000"/>
      <name val="Franklin Gothic Demi"/>
      <family val="2"/>
    </font>
    <font>
      <vertAlign val="subscript"/>
      <sz val="11"/>
      <color rgb="FF000000"/>
      <name val="Franklin Gothic Book"/>
      <family val="2"/>
    </font>
    <font>
      <sz val="10"/>
      <name val="Calibri"/>
      <family val="2"/>
      <scheme val="minor"/>
    </font>
    <font>
      <sz val="10"/>
      <name val="Calibri"/>
      <family val="2"/>
    </font>
    <font>
      <vertAlign val="subscript"/>
      <sz val="9"/>
      <color indexed="81"/>
      <name val="Tahoma"/>
      <family val="2"/>
    </font>
    <font>
      <vertAlign val="superscript"/>
      <sz val="9"/>
      <color indexed="81"/>
      <name val="Tahoma"/>
      <family val="2"/>
    </font>
    <font>
      <sz val="14"/>
      <color theme="1"/>
      <name val="Calibri"/>
      <family val="2"/>
      <scheme val="minor"/>
    </font>
    <font>
      <vertAlign val="superscript"/>
      <sz val="12"/>
      <color theme="1"/>
      <name val="Franklin Gothic Demi"/>
      <family val="2"/>
    </font>
    <font>
      <vertAlign val="subscript"/>
      <sz val="12"/>
      <color theme="1"/>
      <name val="Franklin Gothic Demi"/>
      <family val="2"/>
    </font>
    <font>
      <sz val="8"/>
      <color rgb="FF000000"/>
      <name val="Tahoma"/>
      <family val="2"/>
    </font>
    <font>
      <b/>
      <sz val="10"/>
      <name val="Franklin Gothic Book"/>
      <family val="2"/>
    </font>
    <font>
      <strike/>
      <sz val="10"/>
      <color theme="1"/>
      <name val="Franklin Gothic Book"/>
      <family val="2"/>
    </font>
    <font>
      <sz val="12"/>
      <color rgb="FFFF0000"/>
      <name val="Franklin Gothic Demi"/>
      <family val="2"/>
    </font>
  </fonts>
  <fills count="23">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rgb="FF5559AB"/>
        <bgColor indexed="64"/>
      </patternFill>
    </fill>
    <fill>
      <patternFill patternType="solid">
        <fgColor rgb="FFFF0000"/>
        <bgColor indexed="64"/>
      </patternFill>
    </fill>
    <fill>
      <patternFill patternType="solid">
        <fgColor rgb="FFFF0066"/>
        <bgColor indexed="64"/>
      </patternFill>
    </fill>
    <fill>
      <patternFill patternType="solid">
        <fgColor rgb="FF92D050"/>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5" tint="0.59999389629810485"/>
        <bgColor indexed="64"/>
      </patternFill>
    </fill>
  </fills>
  <borders count="88">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ck">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0" fontId="64" fillId="0" borderId="0"/>
    <xf numFmtId="1" fontId="23" fillId="4" borderId="46" applyNumberFormat="0" applyFont="0" applyFill="0" applyBorder="0" applyAlignment="0">
      <alignment horizontal="center"/>
    </xf>
    <xf numFmtId="1" fontId="23" fillId="4" borderId="46" applyNumberFormat="0" applyFont="0" applyFill="0" applyBorder="0" applyAlignment="0">
      <alignment horizontal="center"/>
      <protection hidden="1"/>
    </xf>
    <xf numFmtId="1" fontId="23" fillId="4" borderId="46" applyNumberFormat="0" applyFont="0" applyFill="0" applyBorder="0" applyAlignment="0">
      <alignment horizontal="center"/>
      <protection locked="0"/>
    </xf>
  </cellStyleXfs>
  <cellXfs count="1421">
    <xf numFmtId="0" fontId="0" fillId="0" borderId="0" xfId="0"/>
    <xf numFmtId="49" fontId="26" fillId="0" borderId="0" xfId="1" applyNumberFormat="1" applyFont="1" applyAlignment="1">
      <alignment horizontal="center" vertical="center" wrapText="1"/>
    </xf>
    <xf numFmtId="49" fontId="64" fillId="0" borderId="0" xfId="1" applyNumberFormat="1" applyAlignment="1">
      <alignment vertical="center" wrapText="1"/>
    </xf>
    <xf numFmtId="0" fontId="0" fillId="0" borderId="0" xfId="0" applyAlignment="1">
      <alignment horizontal="right"/>
    </xf>
    <xf numFmtId="0" fontId="35" fillId="0" borderId="0" xfId="0" applyFont="1"/>
    <xf numFmtId="0" fontId="30" fillId="5" borderId="63" xfId="4" applyNumberFormat="1" applyFont="1" applyFill="1" applyBorder="1" applyAlignment="1">
      <alignment horizontal="center"/>
      <protection locked="0"/>
    </xf>
    <xf numFmtId="0" fontId="30" fillId="5" borderId="14" xfId="4" applyNumberFormat="1" applyFont="1" applyFill="1" applyBorder="1" applyAlignment="1">
      <alignment horizontal="center"/>
      <protection locked="0"/>
    </xf>
    <xf numFmtId="0" fontId="49" fillId="5" borderId="20" xfId="4" applyNumberFormat="1" applyFont="1" applyFill="1" applyBorder="1" applyAlignment="1">
      <alignment horizontal="center"/>
      <protection locked="0"/>
    </xf>
    <xf numFmtId="0" fontId="49" fillId="5" borderId="13" xfId="4" applyNumberFormat="1" applyFont="1" applyFill="1" applyBorder="1" applyAlignment="1">
      <alignment horizontal="center"/>
      <protection locked="0"/>
    </xf>
    <xf numFmtId="0" fontId="49" fillId="5" borderId="14" xfId="4" applyNumberFormat="1" applyFont="1" applyFill="1" applyBorder="1" applyAlignment="1">
      <alignment horizontal="center"/>
      <protection locked="0"/>
    </xf>
    <xf numFmtId="2" fontId="49" fillId="5" borderId="20" xfId="4" applyNumberFormat="1" applyFont="1" applyFill="1" applyBorder="1" applyAlignment="1">
      <alignment horizontal="center"/>
      <protection locked="0"/>
    </xf>
    <xf numFmtId="2" fontId="49" fillId="5" borderId="13" xfId="4" applyNumberFormat="1" applyFont="1" applyFill="1" applyBorder="1" applyAlignment="1">
      <alignment horizontal="center"/>
      <protection locked="0"/>
    </xf>
    <xf numFmtId="2" fontId="49" fillId="5" borderId="14" xfId="4" applyNumberFormat="1" applyFont="1" applyFill="1" applyBorder="1" applyAlignment="1">
      <alignment horizontal="center"/>
      <protection locked="0"/>
    </xf>
    <xf numFmtId="0" fontId="1" fillId="2" borderId="0" xfId="2" applyNumberFormat="1" applyFont="1" applyFill="1" applyBorder="1" applyAlignment="1">
      <alignment horizontal="right"/>
    </xf>
    <xf numFmtId="0" fontId="32" fillId="3" borderId="0" xfId="2" applyNumberFormat="1" applyFont="1" applyFill="1" applyBorder="1" applyAlignment="1"/>
    <xf numFmtId="0" fontId="75" fillId="3" borderId="0" xfId="2" applyNumberFormat="1" applyFont="1" applyFill="1" applyBorder="1" applyAlignment="1">
      <alignment horizontal="left" vertical="center" indent="5"/>
    </xf>
    <xf numFmtId="0" fontId="0" fillId="3" borderId="0" xfId="2" applyNumberFormat="1" applyFont="1" applyFill="1" applyBorder="1" applyAlignment="1"/>
    <xf numFmtId="0" fontId="76" fillId="3" borderId="0" xfId="2" applyNumberFormat="1" applyFont="1" applyFill="1" applyBorder="1" applyAlignment="1"/>
    <xf numFmtId="0" fontId="76" fillId="3" borderId="0" xfId="2" applyNumberFormat="1" applyFont="1" applyFill="1" applyBorder="1" applyAlignment="1">
      <alignment horizontal="left" vertical="center" indent="6"/>
    </xf>
    <xf numFmtId="0" fontId="50" fillId="10" borderId="16" xfId="2" applyNumberFormat="1" applyFont="1" applyFill="1" applyBorder="1" applyAlignment="1">
      <alignment vertical="center" wrapText="1"/>
    </xf>
    <xf numFmtId="0" fontId="38" fillId="3" borderId="16" xfId="2" applyNumberFormat="1" applyFont="1" applyFill="1" applyBorder="1" applyAlignment="1">
      <alignment horizontal="right" vertical="center" wrapText="1"/>
    </xf>
    <xf numFmtId="0" fontId="49" fillId="4" borderId="52" xfId="2" applyNumberFormat="1" applyFont="1" applyFill="1" applyBorder="1" applyAlignment="1">
      <alignment vertical="center" wrapText="1"/>
    </xf>
    <xf numFmtId="0" fontId="0" fillId="4" borderId="37" xfId="2" applyNumberFormat="1" applyFont="1" applyFill="1" applyBorder="1" applyAlignment="1">
      <alignment horizontal="left" vertical="top" wrapText="1"/>
    </xf>
    <xf numFmtId="0" fontId="28" fillId="3" borderId="16" xfId="2" applyNumberFormat="1" applyFont="1" applyFill="1" applyBorder="1" applyAlignment="1">
      <alignment horizontal="right"/>
    </xf>
    <xf numFmtId="0" fontId="28" fillId="3" borderId="16" xfId="2" applyNumberFormat="1" applyFont="1" applyFill="1" applyBorder="1" applyAlignment="1">
      <alignment horizontal="right" vertical="center" wrapText="1"/>
    </xf>
    <xf numFmtId="0" fontId="49" fillId="4" borderId="33" xfId="2" applyNumberFormat="1" applyFont="1" applyFill="1" applyBorder="1" applyAlignment="1">
      <alignment vertical="center" wrapText="1"/>
    </xf>
    <xf numFmtId="0" fontId="49" fillId="4" borderId="37" xfId="2" applyNumberFormat="1" applyFont="1" applyFill="1" applyBorder="1" applyAlignment="1">
      <alignment vertical="center" wrapText="1"/>
    </xf>
    <xf numFmtId="0" fontId="1" fillId="3" borderId="0" xfId="2" applyNumberFormat="1" applyFont="1" applyFill="1" applyBorder="1" applyAlignment="1">
      <alignment horizontal="right"/>
    </xf>
    <xf numFmtId="0" fontId="0" fillId="3" borderId="4" xfId="2" applyNumberFormat="1" applyFont="1" applyFill="1" applyBorder="1" applyAlignment="1">
      <alignment vertical="center" wrapText="1"/>
    </xf>
    <xf numFmtId="0" fontId="28" fillId="3" borderId="32" xfId="2" applyNumberFormat="1" applyFont="1" applyFill="1" applyBorder="1" applyAlignment="1">
      <alignment horizontal="center" vertical="center" wrapText="1"/>
    </xf>
    <xf numFmtId="0" fontId="38" fillId="3" borderId="32" xfId="2" applyNumberFormat="1" applyFont="1" applyFill="1" applyBorder="1" applyAlignment="1">
      <alignment horizontal="center" vertical="center" wrapText="1"/>
    </xf>
    <xf numFmtId="0" fontId="28" fillId="3" borderId="32" xfId="2" applyNumberFormat="1" applyFont="1" applyFill="1" applyBorder="1" applyAlignment="1">
      <alignment horizontal="right" vertical="center" wrapText="1"/>
    </xf>
    <xf numFmtId="1" fontId="49" fillId="4" borderId="11" xfId="2" applyNumberFormat="1" applyFont="1" applyFill="1" applyBorder="1" applyAlignment="1">
      <alignment horizontal="center" vertical="center" wrapText="1"/>
    </xf>
    <xf numFmtId="1" fontId="49" fillId="4" borderId="63" xfId="2" applyNumberFormat="1" applyFont="1" applyFill="1" applyBorder="1" applyAlignment="1">
      <alignment horizontal="center" vertical="center" wrapText="1"/>
    </xf>
    <xf numFmtId="164" fontId="49" fillId="4" borderId="5" xfId="2" applyNumberFormat="1" applyFont="1" applyFill="1" applyBorder="1" applyAlignment="1">
      <alignment horizontal="center" vertical="center" wrapText="1"/>
    </xf>
    <xf numFmtId="164" fontId="49" fillId="4" borderId="63" xfId="2" applyNumberFormat="1" applyFont="1" applyFill="1" applyBorder="1" applyAlignment="1">
      <alignment horizontal="center" vertical="center" wrapText="1"/>
    </xf>
    <xf numFmtId="0" fontId="49" fillId="4" borderId="20" xfId="2" applyNumberFormat="1" applyFont="1" applyFill="1" applyBorder="1" applyAlignment="1">
      <alignment horizontal="center" vertical="center" wrapText="1"/>
    </xf>
    <xf numFmtId="0" fontId="49" fillId="4" borderId="14" xfId="2" applyNumberFormat="1" applyFont="1" applyFill="1" applyBorder="1" applyAlignment="1">
      <alignment horizontal="center" vertical="center" wrapText="1"/>
    </xf>
    <xf numFmtId="0" fontId="49" fillId="4" borderId="42" xfId="2" applyNumberFormat="1" applyFont="1" applyFill="1" applyBorder="1" applyAlignment="1">
      <alignment horizontal="center" vertical="center" wrapText="1"/>
    </xf>
    <xf numFmtId="0" fontId="49" fillId="4" borderId="13" xfId="2" applyNumberFormat="1" applyFont="1" applyFill="1" applyBorder="1" applyAlignment="1">
      <alignment horizontal="center" vertical="center" wrapText="1"/>
    </xf>
    <xf numFmtId="3" fontId="49" fillId="4" borderId="20" xfId="2" applyNumberFormat="1" applyFont="1" applyFill="1" applyBorder="1" applyAlignment="1">
      <alignment horizontal="center" vertical="center" wrapText="1"/>
    </xf>
    <xf numFmtId="3" fontId="49" fillId="4" borderId="14" xfId="2" applyNumberFormat="1" applyFont="1" applyFill="1" applyBorder="1" applyAlignment="1">
      <alignment horizontal="center" vertical="center" wrapText="1"/>
    </xf>
    <xf numFmtId="164" fontId="49" fillId="4" borderId="42" xfId="2" applyNumberFormat="1" applyFont="1" applyFill="1" applyBorder="1" applyAlignment="1">
      <alignment horizontal="center" vertical="center" wrapText="1"/>
    </xf>
    <xf numFmtId="164" fontId="49" fillId="4" borderId="13" xfId="2" applyNumberFormat="1" applyFont="1" applyFill="1" applyBorder="1" applyAlignment="1">
      <alignment horizontal="center" vertical="center" wrapText="1"/>
    </xf>
    <xf numFmtId="0" fontId="5" fillId="20" borderId="14" xfId="2" applyNumberFormat="1" applyFont="1" applyFill="1" applyBorder="1" applyAlignment="1">
      <alignment horizontal="center" vertical="center" wrapText="1"/>
    </xf>
    <xf numFmtId="2" fontId="49" fillId="4" borderId="20" xfId="2" applyNumberFormat="1" applyFont="1" applyFill="1" applyBorder="1" applyAlignment="1">
      <alignment horizontal="center" vertical="center" wrapText="1"/>
    </xf>
    <xf numFmtId="2" fontId="49" fillId="4" borderId="13" xfId="2" applyNumberFormat="1" applyFont="1" applyFill="1" applyBorder="1" applyAlignment="1">
      <alignment horizontal="center" vertical="center" wrapText="1"/>
    </xf>
    <xf numFmtId="0" fontId="49" fillId="20" borderId="14" xfId="2" applyNumberFormat="1" applyFont="1" applyFill="1" applyBorder="1" applyAlignment="1">
      <alignment horizontal="center" vertical="center" wrapText="1"/>
    </xf>
    <xf numFmtId="0" fontId="49" fillId="20" borderId="12" xfId="2" applyNumberFormat="1" applyFont="1" applyFill="1" applyBorder="1" applyAlignment="1">
      <alignment horizontal="center" vertical="center" wrapText="1"/>
    </xf>
    <xf numFmtId="0" fontId="49" fillId="20" borderId="35" xfId="2" applyNumberFormat="1" applyFont="1" applyFill="1" applyBorder="1" applyAlignment="1">
      <alignment horizontal="center" vertical="center" wrapText="1"/>
    </xf>
    <xf numFmtId="164" fontId="49" fillId="4" borderId="38" xfId="2" applyNumberFormat="1" applyFont="1" applyFill="1" applyBorder="1" applyAlignment="1">
      <alignment horizontal="center" vertical="center" wrapText="1"/>
    </xf>
    <xf numFmtId="164" fontId="49" fillId="4" borderId="8" xfId="2" applyNumberFormat="1" applyFont="1" applyFill="1" applyBorder="1" applyAlignment="1">
      <alignment horizontal="center" vertical="center" wrapText="1"/>
    </xf>
    <xf numFmtId="164" fontId="49" fillId="4" borderId="69" xfId="2" applyNumberFormat="1" applyFont="1" applyFill="1" applyBorder="1" applyAlignment="1">
      <alignment horizontal="center" vertical="center" wrapText="1"/>
    </xf>
    <xf numFmtId="0" fontId="46" fillId="3" borderId="0" xfId="2" applyNumberFormat="1" applyFont="1" applyFill="1" applyBorder="1" applyAlignment="1"/>
    <xf numFmtId="0" fontId="70" fillId="2" borderId="0" xfId="2" applyNumberFormat="1" applyFont="1" applyFill="1" applyBorder="1" applyAlignment="1">
      <alignment horizontal="left" vertical="center"/>
    </xf>
    <xf numFmtId="0" fontId="28" fillId="3" borderId="71" xfId="2" applyNumberFormat="1" applyFont="1" applyFill="1" applyBorder="1" applyAlignment="1">
      <alignment horizontal="center" vertical="center" wrapText="1"/>
    </xf>
    <xf numFmtId="0" fontId="32" fillId="3" borderId="71" xfId="2" applyNumberFormat="1" applyFont="1" applyFill="1" applyBorder="1" applyAlignment="1">
      <alignment horizontal="center" vertical="center" wrapText="1"/>
    </xf>
    <xf numFmtId="0" fontId="1" fillId="2" borderId="73" xfId="2" applyNumberFormat="1" applyFont="1" applyFill="1" applyBorder="1" applyAlignment="1">
      <alignment horizontal="right"/>
    </xf>
    <xf numFmtId="0" fontId="1" fillId="2" borderId="32" xfId="2" applyNumberFormat="1" applyFont="1" applyFill="1" applyBorder="1" applyAlignment="1">
      <alignment horizontal="right"/>
    </xf>
    <xf numFmtId="2" fontId="30" fillId="4" borderId="35" xfId="2" applyNumberFormat="1" applyFont="1" applyFill="1" applyBorder="1" applyAlignment="1">
      <alignment horizontal="center"/>
    </xf>
    <xf numFmtId="0" fontId="60" fillId="3" borderId="0" xfId="2" applyNumberFormat="1" applyFont="1" applyFill="1" applyBorder="1" applyAlignment="1"/>
    <xf numFmtId="0" fontId="32" fillId="3" borderId="2" xfId="2" applyNumberFormat="1" applyFont="1" applyFill="1" applyBorder="1" applyAlignment="1"/>
    <xf numFmtId="0" fontId="0" fillId="3" borderId="2" xfId="2" applyNumberFormat="1" applyFont="1" applyFill="1" applyBorder="1" applyAlignment="1"/>
    <xf numFmtId="0" fontId="0" fillId="3" borderId="4" xfId="2" applyNumberFormat="1" applyFont="1" applyFill="1" applyBorder="1" applyAlignment="1"/>
    <xf numFmtId="0" fontId="49" fillId="2" borderId="0" xfId="2" applyNumberFormat="1" applyFont="1" applyFill="1" applyBorder="1" applyAlignment="1">
      <alignment horizontal="right"/>
    </xf>
    <xf numFmtId="0" fontId="10" fillId="7" borderId="11" xfId="2" applyNumberFormat="1" applyFont="1" applyFill="1" applyBorder="1" applyAlignment="1">
      <alignment horizontal="center"/>
    </xf>
    <xf numFmtId="0" fontId="45" fillId="7" borderId="5" xfId="2" applyNumberFormat="1" applyFont="1" applyFill="1" applyBorder="1" applyAlignment="1">
      <alignment horizontal="center"/>
    </xf>
    <xf numFmtId="0" fontId="10" fillId="7" borderId="63" xfId="2" applyNumberFormat="1" applyFont="1" applyFill="1" applyBorder="1" applyAlignment="1">
      <alignment horizontal="center"/>
    </xf>
    <xf numFmtId="0" fontId="49" fillId="2" borderId="0" xfId="2" applyNumberFormat="1" applyFont="1" applyFill="1" applyBorder="1" applyAlignment="1">
      <alignment horizontal="left"/>
    </xf>
    <xf numFmtId="0" fontId="0" fillId="3" borderId="6" xfId="2" applyNumberFormat="1" applyFont="1" applyFill="1" applyBorder="1" applyAlignment="1"/>
    <xf numFmtId="0" fontId="0" fillId="3" borderId="7" xfId="2" applyNumberFormat="1" applyFont="1" applyFill="1" applyBorder="1" applyAlignment="1"/>
    <xf numFmtId="0" fontId="30" fillId="2" borderId="0" xfId="2" applyNumberFormat="1" applyFont="1" applyFill="1" applyBorder="1" applyAlignment="1">
      <alignment horizontal="left" vertical="top"/>
    </xf>
    <xf numFmtId="0" fontId="49" fillId="2" borderId="20" xfId="2" applyNumberFormat="1" applyFont="1" applyFill="1" applyBorder="1" applyAlignment="1">
      <alignment horizontal="center"/>
    </xf>
    <xf numFmtId="0" fontId="49" fillId="2" borderId="13" xfId="2" applyNumberFormat="1" applyFont="1" applyFill="1" applyBorder="1" applyAlignment="1">
      <alignment horizontal="center" vertical="top"/>
    </xf>
    <xf numFmtId="0" fontId="25" fillId="2" borderId="14" xfId="2" applyNumberFormat="1" applyFont="1" applyFill="1" applyBorder="1" applyAlignment="1">
      <alignment horizontal="center"/>
    </xf>
    <xf numFmtId="0" fontId="30" fillId="2" borderId="0" xfId="2" applyNumberFormat="1" applyFont="1" applyFill="1" applyBorder="1" applyAlignment="1">
      <alignment horizontal="left"/>
    </xf>
    <xf numFmtId="0" fontId="25" fillId="2" borderId="0" xfId="2" applyNumberFormat="1" applyFont="1" applyFill="1" applyBorder="1" applyAlignment="1">
      <alignment horizontal="right"/>
    </xf>
    <xf numFmtId="0" fontId="25" fillId="2" borderId="6" xfId="2" applyNumberFormat="1" applyFont="1" applyFill="1" applyBorder="1" applyAlignment="1">
      <alignment horizontal="center"/>
    </xf>
    <xf numFmtId="0" fontId="25" fillId="2" borderId="0" xfId="2" applyNumberFormat="1" applyFont="1" applyFill="1" applyBorder="1" applyAlignment="1"/>
    <xf numFmtId="0" fontId="25" fillId="2" borderId="7" xfId="2" applyNumberFormat="1" applyFont="1" applyFill="1" applyBorder="1" applyAlignment="1"/>
    <xf numFmtId="164" fontId="49" fillId="4" borderId="20" xfId="2" applyNumberFormat="1" applyFont="1" applyFill="1" applyBorder="1" applyAlignment="1">
      <alignment horizontal="center"/>
    </xf>
    <xf numFmtId="164" fontId="49" fillId="4" borderId="13" xfId="2" applyNumberFormat="1" applyFont="1" applyFill="1" applyBorder="1" applyAlignment="1">
      <alignment horizontal="center"/>
    </xf>
    <xf numFmtId="164" fontId="49" fillId="4" borderId="14" xfId="2" applyNumberFormat="1" applyFont="1" applyFill="1" applyBorder="1" applyAlignment="1">
      <alignment horizontal="center"/>
    </xf>
    <xf numFmtId="0" fontId="38" fillId="2" borderId="0" xfId="2" applyNumberFormat="1" applyFont="1" applyFill="1" applyBorder="1" applyAlignment="1">
      <alignment horizontal="right"/>
    </xf>
    <xf numFmtId="164" fontId="38" fillId="4" borderId="42" xfId="2" applyNumberFormat="1" applyFont="1" applyFill="1" applyBorder="1" applyAlignment="1">
      <alignment horizontal="center"/>
    </xf>
    <xf numFmtId="164" fontId="38" fillId="4" borderId="13" xfId="2" applyNumberFormat="1" applyFont="1" applyFill="1" applyBorder="1" applyAlignment="1">
      <alignment horizontal="center"/>
    </xf>
    <xf numFmtId="164" fontId="38" fillId="4" borderId="68" xfId="2" applyNumberFormat="1" applyFont="1" applyFill="1" applyBorder="1" applyAlignment="1">
      <alignment horizontal="center"/>
    </xf>
    <xf numFmtId="164" fontId="49" fillId="4" borderId="77" xfId="2" applyNumberFormat="1" applyFont="1" applyFill="1" applyBorder="1" applyAlignment="1">
      <alignment horizontal="center"/>
    </xf>
    <xf numFmtId="164" fontId="49" fillId="4" borderId="64" xfId="2" applyNumberFormat="1" applyFont="1" applyFill="1" applyBorder="1" applyAlignment="1">
      <alignment horizontal="center"/>
    </xf>
    <xf numFmtId="0" fontId="89" fillId="3" borderId="6" xfId="2" applyNumberFormat="1" applyFont="1" applyFill="1" applyBorder="1" applyAlignment="1"/>
    <xf numFmtId="0" fontId="89" fillId="3" borderId="0" xfId="2" applyNumberFormat="1" applyFont="1" applyFill="1" applyBorder="1" applyAlignment="1"/>
    <xf numFmtId="0" fontId="89" fillId="3" borderId="7" xfId="2" applyNumberFormat="1" applyFont="1" applyFill="1" applyBorder="1" applyAlignment="1"/>
    <xf numFmtId="1" fontId="49" fillId="4" borderId="43" xfId="2" applyNumberFormat="1" applyFont="1" applyFill="1" applyBorder="1" applyAlignment="1">
      <alignment horizontal="center"/>
    </xf>
    <xf numFmtId="1" fontId="49" fillId="4" borderId="8" xfId="2" applyNumberFormat="1" applyFont="1" applyFill="1" applyBorder="1" applyAlignment="1">
      <alignment horizontal="center"/>
    </xf>
    <xf numFmtId="1" fontId="49" fillId="4" borderId="69" xfId="2" applyNumberFormat="1" applyFont="1" applyFill="1" applyBorder="1" applyAlignment="1">
      <alignment horizontal="center"/>
    </xf>
    <xf numFmtId="0" fontId="30" fillId="2" borderId="2" xfId="2" applyNumberFormat="1" applyFont="1" applyFill="1" applyBorder="1" applyAlignment="1">
      <alignment horizontal="left" vertical="top"/>
    </xf>
    <xf numFmtId="0" fontId="23" fillId="2" borderId="0" xfId="2" applyNumberFormat="1" applyFont="1" applyFill="1" applyBorder="1" applyAlignment="1">
      <alignment horizontal="left" vertical="top"/>
    </xf>
    <xf numFmtId="0" fontId="30" fillId="2" borderId="0" xfId="2" applyNumberFormat="1" applyFont="1" applyFill="1" applyBorder="1" applyAlignment="1">
      <alignment horizontal="right"/>
    </xf>
    <xf numFmtId="0" fontId="25" fillId="3" borderId="0" xfId="2" applyNumberFormat="1" applyFont="1" applyFill="1" applyBorder="1" applyAlignment="1">
      <alignment horizontal="right"/>
    </xf>
    <xf numFmtId="0" fontId="23" fillId="2" borderId="0" xfId="2" applyNumberFormat="1" applyFont="1" applyFill="1" applyBorder="1" applyAlignment="1"/>
    <xf numFmtId="0" fontId="0" fillId="2" borderId="0" xfId="2" applyNumberFormat="1" applyFont="1" applyFill="1" applyBorder="1" applyAlignment="1">
      <alignment horizontal="right"/>
    </xf>
    <xf numFmtId="0" fontId="28" fillId="2" borderId="0" xfId="2" applyNumberFormat="1" applyFont="1" applyFill="1" applyBorder="1" applyAlignment="1">
      <alignment horizontal="right"/>
    </xf>
    <xf numFmtId="0" fontId="32" fillId="3" borderId="0" xfId="2" applyNumberFormat="1" applyFont="1" applyFill="1" applyBorder="1" applyAlignment="1">
      <alignment vertical="center"/>
    </xf>
    <xf numFmtId="0" fontId="30" fillId="3" borderId="0" xfId="2" applyNumberFormat="1" applyFont="1" applyFill="1" applyBorder="1" applyAlignment="1">
      <alignment vertical="center" wrapText="1"/>
    </xf>
    <xf numFmtId="0" fontId="0" fillId="3" borderId="0" xfId="2" applyNumberFormat="1" applyFont="1" applyFill="1" applyBorder="1" applyAlignment="1">
      <alignment wrapText="1"/>
    </xf>
    <xf numFmtId="0" fontId="30" fillId="3" borderId="16" xfId="2" applyNumberFormat="1" applyFont="1" applyFill="1" applyBorder="1" applyAlignment="1">
      <alignment vertical="center" wrapText="1"/>
    </xf>
    <xf numFmtId="0" fontId="46" fillId="3" borderId="6" xfId="2" applyNumberFormat="1" applyFont="1" applyFill="1" applyBorder="1" applyAlignment="1">
      <alignment vertical="center"/>
    </xf>
    <xf numFmtId="0" fontId="28" fillId="3" borderId="0" xfId="2" applyNumberFormat="1" applyFont="1" applyFill="1" applyBorder="1" applyAlignment="1">
      <alignment horizontal="right"/>
    </xf>
    <xf numFmtId="0" fontId="30" fillId="3" borderId="16" xfId="2" applyNumberFormat="1" applyFont="1" applyFill="1" applyBorder="1" applyAlignment="1"/>
    <xf numFmtId="0" fontId="49" fillId="3" borderId="0" xfId="2" applyNumberFormat="1" applyFont="1" applyFill="1" applyBorder="1" applyAlignment="1"/>
    <xf numFmtId="0" fontId="49" fillId="3" borderId="0" xfId="2" applyNumberFormat="1" applyFont="1" applyFill="1" applyBorder="1" applyAlignment="1">
      <alignment horizontal="right"/>
    </xf>
    <xf numFmtId="0" fontId="35" fillId="3" borderId="0" xfId="2" applyNumberFormat="1" applyFont="1" applyFill="1" applyBorder="1" applyAlignment="1"/>
    <xf numFmtId="0" fontId="30" fillId="3" borderId="32" xfId="2" applyNumberFormat="1" applyFont="1" applyFill="1" applyBorder="1" applyAlignment="1">
      <alignment vertical="center" wrapText="1"/>
    </xf>
    <xf numFmtId="0" fontId="30" fillId="3" borderId="0" xfId="2" applyNumberFormat="1" applyFont="1" applyFill="1" applyBorder="1" applyAlignment="1"/>
    <xf numFmtId="0" fontId="24" fillId="3" borderId="0" xfId="2" applyNumberFormat="1" applyFont="1" applyFill="1" applyBorder="1" applyAlignment="1"/>
    <xf numFmtId="0" fontId="7" fillId="3" borderId="0" xfId="2" applyNumberFormat="1" applyFont="1" applyFill="1" applyBorder="1" applyAlignment="1"/>
    <xf numFmtId="0" fontId="37" fillId="3" borderId="0" xfId="2" applyNumberFormat="1" applyFont="1" applyFill="1" applyBorder="1" applyAlignment="1">
      <alignment vertical="center"/>
    </xf>
    <xf numFmtId="0" fontId="17" fillId="3" borderId="0" xfId="2" applyNumberFormat="1" applyFont="1" applyFill="1" applyBorder="1" applyAlignment="1">
      <alignment horizontal="right"/>
    </xf>
    <xf numFmtId="0" fontId="0" fillId="3" borderId="0" xfId="2" applyNumberFormat="1" applyFont="1" applyFill="1" applyBorder="1" applyAlignment="1">
      <alignment vertical="center"/>
    </xf>
    <xf numFmtId="0" fontId="30" fillId="3" borderId="0" xfId="2" applyNumberFormat="1" applyFont="1" applyFill="1" applyBorder="1" applyAlignment="1">
      <alignment horizontal="right"/>
    </xf>
    <xf numFmtId="0" fontId="42" fillId="3" borderId="0" xfId="2" applyNumberFormat="1" applyFont="1" applyFill="1" applyBorder="1" applyAlignment="1">
      <alignment horizontal="left"/>
    </xf>
    <xf numFmtId="0" fontId="23" fillId="3" borderId="0" xfId="2" applyNumberFormat="1" applyFont="1" applyFill="1" applyBorder="1" applyAlignment="1">
      <alignment vertical="center"/>
    </xf>
    <xf numFmtId="0" fontId="30" fillId="3" borderId="16" xfId="2" applyNumberFormat="1" applyFont="1" applyFill="1" applyBorder="1" applyAlignment="1">
      <alignment horizontal="right"/>
    </xf>
    <xf numFmtId="164" fontId="30" fillId="4" borderId="16" xfId="2" applyNumberFormat="1" applyFont="1" applyFill="1" applyBorder="1" applyAlignment="1">
      <alignment horizontal="center"/>
    </xf>
    <xf numFmtId="0" fontId="30" fillId="4" borderId="16" xfId="2" applyNumberFormat="1" applyFont="1" applyFill="1" applyBorder="1" applyAlignment="1">
      <alignment horizontal="center"/>
    </xf>
    <xf numFmtId="0" fontId="30" fillId="3" borderId="23" xfId="2" applyNumberFormat="1" applyFont="1" applyFill="1" applyBorder="1" applyAlignment="1">
      <alignment vertical="center" wrapText="1"/>
    </xf>
    <xf numFmtId="0" fontId="30" fillId="3" borderId="0" xfId="2" applyNumberFormat="1" applyFont="1" applyFill="1" applyBorder="1" applyAlignment="1">
      <alignment horizontal="left"/>
    </xf>
    <xf numFmtId="0" fontId="50" fillId="10" borderId="33" xfId="2" applyNumberFormat="1" applyFont="1" applyFill="1" applyBorder="1" applyAlignment="1">
      <alignment vertical="center"/>
    </xf>
    <xf numFmtId="0" fontId="50" fillId="10" borderId="52" xfId="2" applyNumberFormat="1" applyFont="1" applyFill="1" applyBorder="1" applyAlignment="1">
      <alignment vertical="center"/>
    </xf>
    <xf numFmtId="0" fontId="50" fillId="10" borderId="37" xfId="2" applyNumberFormat="1" applyFont="1" applyFill="1" applyBorder="1" applyAlignment="1">
      <alignment vertical="center"/>
    </xf>
    <xf numFmtId="0" fontId="27" fillId="3" borderId="0" xfId="2" applyNumberFormat="1" applyFont="1" applyFill="1" applyBorder="1" applyAlignment="1"/>
    <xf numFmtId="0" fontId="23" fillId="3" borderId="0" xfId="2" applyNumberFormat="1" applyFont="1" applyFill="1" applyBorder="1" applyAlignment="1"/>
    <xf numFmtId="0" fontId="28" fillId="3" borderId="0" xfId="2" applyNumberFormat="1" applyFont="1" applyFill="1" applyBorder="1" applyAlignment="1">
      <alignment vertical="center" wrapText="1"/>
    </xf>
    <xf numFmtId="0" fontId="27" fillId="3" borderId="57" xfId="2" applyNumberFormat="1" applyFont="1" applyFill="1" applyBorder="1" applyAlignment="1">
      <alignment horizontal="right"/>
    </xf>
    <xf numFmtId="0" fontId="50" fillId="10" borderId="52" xfId="2" applyNumberFormat="1" applyFont="1" applyFill="1" applyBorder="1" applyAlignment="1">
      <alignment horizontal="left" vertical="center" wrapText="1" indent="4"/>
    </xf>
    <xf numFmtId="0" fontId="50" fillId="10" borderId="37" xfId="2" applyNumberFormat="1" applyFont="1" applyFill="1" applyBorder="1" applyAlignment="1">
      <alignment horizontal="left" vertical="center" wrapText="1" indent="4"/>
    </xf>
    <xf numFmtId="0" fontId="30" fillId="3" borderId="33" xfId="2" applyNumberFormat="1" applyFont="1" applyFill="1" applyBorder="1" applyAlignment="1">
      <alignment vertical="center"/>
    </xf>
    <xf numFmtId="0" fontId="30" fillId="3" borderId="52" xfId="2" applyNumberFormat="1" applyFont="1" applyFill="1" applyBorder="1" applyAlignment="1">
      <alignment vertical="center" wrapText="1"/>
    </xf>
    <xf numFmtId="0" fontId="74" fillId="3" borderId="0" xfId="2" applyNumberFormat="1" applyFont="1" applyFill="1" applyBorder="1" applyAlignment="1">
      <alignment vertical="center"/>
    </xf>
    <xf numFmtId="3" fontId="28" fillId="4" borderId="34" xfId="2" applyNumberFormat="1" applyFont="1" applyFill="1" applyBorder="1" applyAlignment="1"/>
    <xf numFmtId="0" fontId="46" fillId="3" borderId="0" xfId="2" applyNumberFormat="1" applyFont="1" applyFill="1" applyBorder="1" applyAlignment="1">
      <alignment vertical="center"/>
    </xf>
    <xf numFmtId="1" fontId="28" fillId="4" borderId="13" xfId="2" applyNumberFormat="1" applyFont="1" applyFill="1" applyBorder="1" applyAlignment="1"/>
    <xf numFmtId="3" fontId="28" fillId="4" borderId="13" xfId="2" applyNumberFormat="1" applyFont="1" applyFill="1" applyBorder="1" applyAlignment="1"/>
    <xf numFmtId="0" fontId="62" fillId="3" borderId="0" xfId="2" applyNumberFormat="1" applyFont="1" applyFill="1" applyBorder="1" applyAlignment="1">
      <alignment vertical="center"/>
    </xf>
    <xf numFmtId="0" fontId="50" fillId="3" borderId="0" xfId="2" applyNumberFormat="1" applyFont="1" applyFill="1" applyBorder="1" applyAlignment="1">
      <alignment vertical="center"/>
    </xf>
    <xf numFmtId="0" fontId="38" fillId="3" borderId="48" xfId="2" applyNumberFormat="1" applyFont="1" applyFill="1" applyBorder="1" applyAlignment="1">
      <alignment horizontal="right" vertical="center"/>
    </xf>
    <xf numFmtId="0" fontId="38" fillId="3" borderId="0" xfId="2" applyNumberFormat="1" applyFont="1" applyFill="1" applyBorder="1" applyAlignment="1">
      <alignment vertical="center"/>
    </xf>
    <xf numFmtId="0" fontId="28" fillId="3" borderId="0" xfId="2" applyNumberFormat="1" applyFont="1" applyFill="1" applyBorder="1" applyAlignment="1">
      <alignment horizontal="right" vertical="top" wrapText="1"/>
    </xf>
    <xf numFmtId="0" fontId="30" fillId="3" borderId="0" xfId="2" applyNumberFormat="1" applyFont="1" applyFill="1" applyBorder="1" applyAlignment="1">
      <alignment horizontal="right" vertical="top" wrapText="1"/>
    </xf>
    <xf numFmtId="0" fontId="30" fillId="4" borderId="13" xfId="2" applyNumberFormat="1" applyFont="1" applyFill="1" applyBorder="1" applyAlignment="1">
      <alignment horizontal="center"/>
    </xf>
    <xf numFmtId="0" fontId="30" fillId="3" borderId="0" xfId="2" applyNumberFormat="1" applyFont="1" applyFill="1" applyBorder="1" applyAlignment="1">
      <alignment vertical="center"/>
    </xf>
    <xf numFmtId="164" fontId="30" fillId="4" borderId="13" xfId="2" applyNumberFormat="1" applyFont="1" applyFill="1" applyBorder="1" applyAlignment="1">
      <alignment horizontal="center"/>
    </xf>
    <xf numFmtId="164" fontId="30" fillId="4" borderId="13" xfId="2" applyNumberFormat="1" applyFont="1" applyFill="1" applyBorder="1" applyAlignment="1"/>
    <xf numFmtId="0" fontId="45" fillId="3" borderId="0" xfId="2" applyNumberFormat="1" applyFont="1" applyFill="1" applyBorder="1" applyAlignment="1"/>
    <xf numFmtId="1" fontId="30" fillId="4" borderId="13" xfId="2" applyNumberFormat="1" applyFont="1" applyFill="1" applyBorder="1" applyAlignment="1"/>
    <xf numFmtId="0" fontId="30" fillId="3" borderId="0" xfId="2" applyNumberFormat="1" applyFont="1" applyFill="1" applyBorder="1" applyAlignment="1">
      <alignment horizontal="right" vertical="top"/>
    </xf>
    <xf numFmtId="2" fontId="30" fillId="4" borderId="45" xfId="2" applyNumberFormat="1" applyFont="1" applyFill="1" applyBorder="1" applyAlignment="1"/>
    <xf numFmtId="0" fontId="7" fillId="3" borderId="26" xfId="2" applyNumberFormat="1" applyFont="1" applyFill="1" applyBorder="1" applyAlignment="1">
      <alignment horizontal="right"/>
    </xf>
    <xf numFmtId="0" fontId="49" fillId="4" borderId="27" xfId="2" applyNumberFormat="1" applyFont="1" applyFill="1" applyBorder="1" applyAlignment="1">
      <alignment horizontal="center"/>
    </xf>
    <xf numFmtId="0" fontId="71" fillId="3" borderId="0" xfId="2" applyNumberFormat="1" applyFont="1" applyFill="1" applyBorder="1" applyAlignment="1"/>
    <xf numFmtId="0" fontId="49" fillId="3" borderId="28" xfId="2" applyNumberFormat="1" applyFont="1" applyFill="1" applyBorder="1" applyAlignment="1">
      <alignment horizontal="right"/>
    </xf>
    <xf numFmtId="1" fontId="49" fillId="4" borderId="13" xfId="2" applyNumberFormat="1" applyFont="1" applyFill="1" applyBorder="1" applyAlignment="1">
      <alignment horizontal="center"/>
    </xf>
    <xf numFmtId="164" fontId="49" fillId="4" borderId="28" xfId="2" applyNumberFormat="1" applyFont="1" applyFill="1" applyBorder="1" applyAlignment="1">
      <alignment horizontal="center"/>
    </xf>
    <xf numFmtId="0" fontId="49" fillId="3" borderId="0" xfId="2" applyNumberFormat="1" applyFont="1" applyFill="1" applyBorder="1" applyAlignment="1">
      <alignment vertical="top"/>
    </xf>
    <xf numFmtId="0" fontId="49" fillId="3" borderId="31" xfId="2" applyNumberFormat="1" applyFont="1" applyFill="1" applyBorder="1" applyAlignment="1">
      <alignment horizontal="right"/>
    </xf>
    <xf numFmtId="1" fontId="30" fillId="4" borderId="13" xfId="2" applyNumberFormat="1" applyFont="1" applyFill="1" applyBorder="1" applyAlignment="1">
      <alignment horizontal="center" vertical="center"/>
    </xf>
    <xf numFmtId="0" fontId="57" fillId="3" borderId="0" xfId="2" applyNumberFormat="1" applyFont="1" applyFill="1" applyBorder="1" applyAlignment="1">
      <alignment horizontal="right"/>
    </xf>
    <xf numFmtId="0" fontId="31" fillId="3" borderId="0" xfId="2" applyNumberFormat="1" applyFont="1" applyFill="1" applyBorder="1" applyAlignment="1">
      <alignment horizontal="left"/>
    </xf>
    <xf numFmtId="0" fontId="49" fillId="3" borderId="29" xfId="2" applyNumberFormat="1" applyFont="1" applyFill="1" applyBorder="1" applyAlignment="1">
      <alignment horizontal="right"/>
    </xf>
    <xf numFmtId="2" fontId="0" fillId="4" borderId="29" xfId="2" applyNumberFormat="1" applyFont="1" applyFill="1" applyBorder="1" applyAlignment="1">
      <alignment horizontal="center"/>
    </xf>
    <xf numFmtId="2" fontId="30" fillId="4" borderId="13" xfId="2" applyNumberFormat="1" applyFont="1" applyFill="1" applyBorder="1" applyAlignment="1">
      <alignment horizontal="center"/>
    </xf>
    <xf numFmtId="0" fontId="4" fillId="3" borderId="0" xfId="2" applyNumberFormat="1" applyFont="1" applyFill="1" applyBorder="1" applyAlignment="1"/>
    <xf numFmtId="0" fontId="11" fillId="3" borderId="0" xfId="2" applyNumberFormat="1" applyFont="1" applyFill="1" applyBorder="1" applyAlignment="1"/>
    <xf numFmtId="0" fontId="27" fillId="3" borderId="16" xfId="2" applyNumberFormat="1" applyFont="1" applyFill="1" applyBorder="1" applyAlignment="1">
      <alignment wrapText="1"/>
    </xf>
    <xf numFmtId="0" fontId="49" fillId="3" borderId="16" xfId="2" applyNumberFormat="1" applyFont="1" applyFill="1" applyBorder="1" applyAlignment="1">
      <alignment horizontal="center" wrapText="1"/>
    </xf>
    <xf numFmtId="0" fontId="30" fillId="3" borderId="16" xfId="2" applyNumberFormat="1" applyFont="1" applyFill="1" applyBorder="1" applyAlignment="1">
      <alignment horizontal="center" wrapText="1"/>
    </xf>
    <xf numFmtId="0" fontId="77" fillId="3" borderId="73" xfId="2" applyNumberFormat="1" applyFont="1" applyFill="1" applyBorder="1" applyAlignment="1">
      <alignment horizontal="right"/>
    </xf>
    <xf numFmtId="0" fontId="77" fillId="3" borderId="30" xfId="2" applyNumberFormat="1" applyFont="1" applyFill="1" applyBorder="1" applyAlignment="1">
      <alignment horizontal="center"/>
    </xf>
    <xf numFmtId="0" fontId="77" fillId="3" borderId="0" xfId="2" applyNumberFormat="1" applyFont="1" applyFill="1" applyBorder="1" applyAlignment="1">
      <alignment horizontal="center"/>
    </xf>
    <xf numFmtId="165" fontId="77" fillId="9" borderId="30" xfId="2" applyNumberFormat="1" applyFont="1" applyFill="1" applyBorder="1" applyAlignment="1">
      <alignment horizontal="center"/>
    </xf>
    <xf numFmtId="165" fontId="77" fillId="3" borderId="0" xfId="2" applyNumberFormat="1" applyFont="1" applyFill="1" applyBorder="1" applyAlignment="1">
      <alignment horizontal="center"/>
    </xf>
    <xf numFmtId="165" fontId="77" fillId="3" borderId="24" xfId="2" applyNumberFormat="1" applyFont="1" applyFill="1" applyBorder="1" applyAlignment="1">
      <alignment horizontal="center"/>
    </xf>
    <xf numFmtId="0" fontId="80" fillId="3" borderId="73" xfId="2" applyNumberFormat="1" applyFont="1" applyFill="1" applyBorder="1" applyAlignment="1">
      <alignment horizontal="right"/>
    </xf>
    <xf numFmtId="0" fontId="80" fillId="3" borderId="6" xfId="2" applyNumberFormat="1" applyFont="1" applyFill="1" applyBorder="1" applyAlignment="1">
      <alignment horizontal="center"/>
    </xf>
    <xf numFmtId="0" fontId="80" fillId="3" borderId="0" xfId="2" applyNumberFormat="1" applyFont="1" applyFill="1" applyBorder="1" applyAlignment="1">
      <alignment horizontal="center"/>
    </xf>
    <xf numFmtId="165" fontId="80" fillId="9" borderId="6" xfId="2" applyNumberFormat="1" applyFont="1" applyFill="1" applyBorder="1" applyAlignment="1">
      <alignment horizontal="center"/>
    </xf>
    <xf numFmtId="165" fontId="80" fillId="3" borderId="0" xfId="2" applyNumberFormat="1" applyFont="1" applyFill="1" applyBorder="1" applyAlignment="1">
      <alignment horizontal="center"/>
    </xf>
    <xf numFmtId="165" fontId="80" fillId="3" borderId="7" xfId="2" applyNumberFormat="1" applyFont="1" applyFill="1" applyBorder="1" applyAlignment="1">
      <alignment horizontal="center"/>
    </xf>
    <xf numFmtId="0" fontId="77" fillId="3" borderId="0" xfId="2" applyNumberFormat="1" applyFont="1" applyFill="1" applyBorder="1" applyAlignment="1">
      <alignment horizontal="center" vertical="top"/>
    </xf>
    <xf numFmtId="165" fontId="77" fillId="3" borderId="6" xfId="2" applyNumberFormat="1" applyFont="1" applyFill="1" applyBorder="1" applyAlignment="1">
      <alignment horizontal="center"/>
    </xf>
    <xf numFmtId="165" fontId="49" fillId="3" borderId="0" xfId="2" applyNumberFormat="1" applyFont="1" applyFill="1" applyBorder="1" applyAlignment="1">
      <alignment horizontal="center"/>
    </xf>
    <xf numFmtId="165" fontId="49" fillId="3" borderId="7" xfId="2" applyNumberFormat="1" applyFont="1" applyFill="1" applyBorder="1" applyAlignment="1">
      <alignment horizontal="center"/>
    </xf>
    <xf numFmtId="0" fontId="80" fillId="3" borderId="0" xfId="2" applyNumberFormat="1" applyFont="1" applyFill="1" applyBorder="1" applyAlignment="1">
      <alignment horizontal="center" vertical="top"/>
    </xf>
    <xf numFmtId="0" fontId="77" fillId="3" borderId="6" xfId="2" applyNumberFormat="1" applyFont="1" applyFill="1" applyBorder="1" applyAlignment="1">
      <alignment horizontal="center" vertical="top"/>
    </xf>
    <xf numFmtId="165" fontId="77" fillId="9" borderId="6" xfId="2" applyNumberFormat="1" applyFont="1" applyFill="1" applyBorder="1" applyAlignment="1"/>
    <xf numFmtId="165" fontId="77" fillId="9" borderId="0" xfId="2" applyNumberFormat="1" applyFont="1" applyFill="1" applyBorder="1" applyAlignment="1"/>
    <xf numFmtId="165" fontId="77" fillId="9" borderId="7" xfId="2" applyNumberFormat="1" applyFont="1" applyFill="1" applyBorder="1" applyAlignment="1"/>
    <xf numFmtId="0" fontId="80" fillId="3" borderId="32" xfId="2" applyNumberFormat="1" applyFont="1" applyFill="1" applyBorder="1" applyAlignment="1">
      <alignment horizontal="right"/>
    </xf>
    <xf numFmtId="0" fontId="80" fillId="3" borderId="1" xfId="2" applyNumberFormat="1" applyFont="1" applyFill="1" applyBorder="1" applyAlignment="1">
      <alignment horizontal="center" vertical="top"/>
    </xf>
    <xf numFmtId="0" fontId="80" fillId="3" borderId="2" xfId="2" applyNumberFormat="1" applyFont="1" applyFill="1" applyBorder="1" applyAlignment="1">
      <alignment horizontal="center" vertical="top"/>
    </xf>
    <xf numFmtId="165" fontId="30" fillId="9" borderId="1" xfId="2" applyNumberFormat="1" applyFont="1" applyFill="1" applyBorder="1" applyAlignment="1"/>
    <xf numFmtId="165" fontId="30" fillId="9" borderId="2" xfId="2" applyNumberFormat="1" applyFont="1" applyFill="1" applyBorder="1" applyAlignment="1"/>
    <xf numFmtId="165" fontId="30" fillId="9" borderId="4" xfId="2" applyNumberFormat="1" applyFont="1" applyFill="1" applyBorder="1" applyAlignment="1"/>
    <xf numFmtId="0" fontId="7" fillId="3" borderId="0" xfId="2" applyNumberFormat="1" applyFont="1" applyFill="1" applyBorder="1" applyAlignment="1">
      <alignment horizontal="center" vertical="top"/>
    </xf>
    <xf numFmtId="0" fontId="31" fillId="3" borderId="0" xfId="2" applyNumberFormat="1" applyFont="1" applyFill="1" applyBorder="1" applyAlignment="1"/>
    <xf numFmtId="0" fontId="11" fillId="3" borderId="0" xfId="2" applyNumberFormat="1" applyFont="1" applyFill="1" applyBorder="1" applyAlignment="1">
      <alignment horizontal="center"/>
    </xf>
    <xf numFmtId="1" fontId="7" fillId="3" borderId="0" xfId="2" applyNumberFormat="1" applyFont="1" applyFill="1" applyBorder="1" applyAlignment="1">
      <alignment horizontal="center"/>
    </xf>
    <xf numFmtId="164" fontId="7" fillId="3" borderId="0" xfId="2" applyNumberFormat="1" applyFont="1" applyFill="1" applyBorder="1" applyAlignment="1">
      <alignment horizontal="center"/>
    </xf>
    <xf numFmtId="0" fontId="49" fillId="0" borderId="4" xfId="4" applyNumberFormat="1" applyFont="1" applyFill="1" applyBorder="1" applyAlignment="1">
      <alignment horizontal="center" wrapText="1"/>
      <protection locked="0"/>
    </xf>
    <xf numFmtId="0" fontId="30" fillId="0" borderId="4" xfId="4" applyNumberFormat="1" applyFont="1" applyFill="1" applyBorder="1" applyAlignment="1">
      <alignment horizontal="center" vertical="center" wrapText="1"/>
      <protection locked="0"/>
    </xf>
    <xf numFmtId="0" fontId="30" fillId="0" borderId="37" xfId="4" applyNumberFormat="1" applyFont="1" applyFill="1" applyBorder="1" applyAlignment="1">
      <alignment horizontal="center" vertical="center" wrapText="1"/>
      <protection locked="0"/>
    </xf>
    <xf numFmtId="0" fontId="30" fillId="0" borderId="16" xfId="4" applyNumberFormat="1" applyFont="1" applyFill="1" applyBorder="1" applyAlignment="1">
      <alignment horizontal="center" vertical="center" wrapText="1"/>
      <protection locked="0"/>
    </xf>
    <xf numFmtId="0" fontId="49" fillId="5" borderId="13" xfId="4" applyNumberFormat="1" applyFont="1" applyFill="1" applyBorder="1" applyAlignment="1">
      <protection locked="0"/>
    </xf>
    <xf numFmtId="0" fontId="30" fillId="0" borderId="13" xfId="4" applyNumberFormat="1" applyFont="1" applyFill="1" applyBorder="1" applyAlignment="1">
      <alignment horizontal="center"/>
      <protection locked="0"/>
    </xf>
    <xf numFmtId="1" fontId="49" fillId="5" borderId="13" xfId="4" applyNumberFormat="1" applyFont="1" applyFill="1" applyBorder="1" applyAlignment="1">
      <protection locked="0"/>
    </xf>
    <xf numFmtId="1" fontId="49" fillId="5" borderId="8" xfId="4" applyNumberFormat="1" applyFont="1" applyFill="1" applyBorder="1" applyAlignment="1">
      <protection locked="0"/>
    </xf>
    <xf numFmtId="0" fontId="30" fillId="0" borderId="5" xfId="4" applyNumberFormat="1" applyFont="1" applyFill="1" applyBorder="1" applyAlignment="1">
      <alignment horizontal="center" vertical="top" wrapText="1"/>
      <protection locked="0"/>
    </xf>
    <xf numFmtId="0" fontId="30" fillId="0" borderId="13" xfId="4" applyNumberFormat="1" applyFont="1" applyFill="1" applyBorder="1" applyAlignment="1">
      <alignment horizontal="center" vertical="top" wrapText="1"/>
      <protection locked="0"/>
    </xf>
    <xf numFmtId="0" fontId="30" fillId="0" borderId="13" xfId="4" applyNumberFormat="1" applyFont="1" applyFill="1" applyBorder="1" applyAlignment="1">
      <alignment horizontal="center" vertical="center" wrapText="1"/>
      <protection locked="0"/>
    </xf>
    <xf numFmtId="0" fontId="30" fillId="0" borderId="8" xfId="4" applyNumberFormat="1" applyFont="1" applyFill="1" applyBorder="1" applyAlignment="1">
      <alignment horizontal="center" vertical="center" wrapText="1"/>
      <protection locked="0"/>
    </xf>
    <xf numFmtId="0" fontId="30" fillId="5" borderId="35" xfId="4" applyNumberFormat="1" applyFont="1" applyFill="1" applyBorder="1" applyAlignment="1">
      <alignment horizontal="center"/>
      <protection locked="0"/>
    </xf>
    <xf numFmtId="0" fontId="30" fillId="5" borderId="16" xfId="4" applyNumberFormat="1" applyFont="1" applyFill="1" applyBorder="1" applyAlignment="1">
      <alignment horizontal="center"/>
      <protection locked="0"/>
    </xf>
    <xf numFmtId="0" fontId="30" fillId="5" borderId="13" xfId="4" applyNumberFormat="1" applyFont="1" applyFill="1" applyBorder="1" applyAlignment="1">
      <alignment horizontal="center"/>
      <protection locked="0"/>
    </xf>
    <xf numFmtId="1" fontId="30" fillId="0" borderId="13" xfId="4" applyNumberFormat="1" applyFont="1" applyFill="1" applyBorder="1" applyAlignment="1">
      <protection locked="0"/>
    </xf>
    <xf numFmtId="2" fontId="49" fillId="5" borderId="13" xfId="4" applyNumberFormat="1" applyFont="1" applyFill="1" applyBorder="1" applyAlignment="1">
      <alignment horizontal="right"/>
      <protection locked="0"/>
    </xf>
    <xf numFmtId="1" fontId="49" fillId="5" borderId="28" xfId="4" applyNumberFormat="1" applyFont="1" applyFill="1" applyBorder="1" applyAlignment="1">
      <alignment horizontal="center"/>
      <protection locked="0"/>
    </xf>
    <xf numFmtId="2" fontId="49" fillId="5" borderId="31" xfId="4" applyNumberFormat="1" applyFont="1" applyFill="1" applyBorder="1" applyAlignment="1">
      <alignment horizontal="center"/>
      <protection locked="0"/>
    </xf>
    <xf numFmtId="0" fontId="49" fillId="5" borderId="31" xfId="4" applyNumberFormat="1" applyFont="1" applyFill="1" applyBorder="1" applyAlignment="1">
      <alignment horizontal="center"/>
      <protection locked="0"/>
    </xf>
    <xf numFmtId="0" fontId="49" fillId="5" borderId="28" xfId="4" applyNumberFormat="1" applyFont="1" applyFill="1" applyBorder="1" applyAlignment="1">
      <alignment horizontal="center"/>
      <protection locked="0"/>
    </xf>
    <xf numFmtId="0" fontId="50" fillId="10" borderId="37" xfId="2" applyNumberFormat="1" applyFont="1" applyFill="1" applyBorder="1" applyAlignment="1">
      <alignment vertical="center" wrapText="1"/>
    </xf>
    <xf numFmtId="0" fontId="28" fillId="3" borderId="16" xfId="2" applyNumberFormat="1" applyFont="1" applyFill="1" applyBorder="1" applyAlignment="1">
      <alignment horizontal="center" vertical="center" wrapText="1"/>
    </xf>
    <xf numFmtId="0" fontId="0" fillId="3" borderId="16" xfId="2" applyNumberFormat="1" applyFont="1" applyFill="1" applyBorder="1" applyAlignment="1"/>
    <xf numFmtId="0" fontId="42" fillId="3" borderId="0" xfId="2" applyNumberFormat="1" applyFont="1" applyFill="1" applyBorder="1" applyAlignment="1">
      <alignment vertical="center"/>
    </xf>
    <xf numFmtId="0" fontId="28" fillId="3" borderId="30" xfId="2" applyNumberFormat="1" applyFont="1" applyFill="1" applyBorder="1" applyAlignment="1">
      <alignment vertical="center" wrapText="1"/>
    </xf>
    <xf numFmtId="0" fontId="28" fillId="3" borderId="24" xfId="2" applyNumberFormat="1" applyFont="1" applyFill="1" applyBorder="1" applyAlignment="1">
      <alignment vertical="center" wrapText="1"/>
    </xf>
    <xf numFmtId="0" fontId="30" fillId="3" borderId="4" xfId="2" applyNumberFormat="1" applyFont="1" applyFill="1" applyBorder="1" applyAlignment="1">
      <alignment horizontal="center" vertical="center" wrapText="1"/>
    </xf>
    <xf numFmtId="0" fontId="0" fillId="3" borderId="32" xfId="2" applyNumberFormat="1" applyFont="1" applyFill="1" applyBorder="1" applyAlignment="1"/>
    <xf numFmtId="0" fontId="25" fillId="3" borderId="0" xfId="2" applyNumberFormat="1" applyFont="1" applyFill="1" applyBorder="1" applyAlignment="1"/>
    <xf numFmtId="0" fontId="25" fillId="3" borderId="71" xfId="2" applyNumberFormat="1" applyFont="1" applyFill="1" applyBorder="1" applyAlignment="1"/>
    <xf numFmtId="0" fontId="28" fillId="3" borderId="71" xfId="2" applyNumberFormat="1" applyFont="1" applyFill="1" applyBorder="1" applyAlignment="1">
      <alignment horizontal="center" wrapText="1"/>
    </xf>
    <xf numFmtId="0" fontId="25" fillId="3" borderId="32" xfId="2" applyNumberFormat="1" applyFont="1" applyFill="1" applyBorder="1" applyAlignment="1"/>
    <xf numFmtId="0" fontId="28" fillId="3" borderId="73" xfId="2" applyNumberFormat="1" applyFont="1" applyFill="1" applyBorder="1" applyAlignment="1">
      <alignment horizontal="center"/>
    </xf>
    <xf numFmtId="0" fontId="30" fillId="11" borderId="25" xfId="2" applyNumberFormat="1" applyFont="1" applyFill="1" applyBorder="1" applyAlignment="1">
      <alignment horizontal="right"/>
    </xf>
    <xf numFmtId="0" fontId="30" fillId="11" borderId="42" xfId="2" applyNumberFormat="1" applyFont="1" applyFill="1" applyBorder="1" applyAlignment="1">
      <alignment horizontal="right"/>
    </xf>
    <xf numFmtId="0" fontId="30" fillId="11" borderId="43" xfId="2" applyNumberFormat="1" applyFont="1" applyFill="1" applyBorder="1" applyAlignment="1">
      <alignment horizontal="right"/>
    </xf>
    <xf numFmtId="0" fontId="30" fillId="12" borderId="25" xfId="2" applyNumberFormat="1" applyFont="1" applyFill="1" applyBorder="1" applyAlignment="1">
      <alignment horizontal="right"/>
    </xf>
    <xf numFmtId="0" fontId="30" fillId="12" borderId="42" xfId="2" applyNumberFormat="1" applyFont="1" applyFill="1" applyBorder="1" applyAlignment="1">
      <alignment horizontal="right"/>
    </xf>
    <xf numFmtId="0" fontId="30" fillId="12" borderId="43" xfId="2" applyNumberFormat="1" applyFont="1" applyFill="1" applyBorder="1" applyAlignment="1">
      <alignment horizontal="right"/>
    </xf>
    <xf numFmtId="0" fontId="30" fillId="13" borderId="25" xfId="2" applyNumberFormat="1" applyFont="1" applyFill="1" applyBorder="1" applyAlignment="1">
      <alignment horizontal="right"/>
    </xf>
    <xf numFmtId="0" fontId="30" fillId="13" borderId="42" xfId="2" applyNumberFormat="1" applyFont="1" applyFill="1" applyBorder="1" applyAlignment="1">
      <alignment horizontal="right"/>
    </xf>
    <xf numFmtId="0" fontId="30" fillId="13" borderId="43" xfId="2" applyNumberFormat="1" applyFont="1" applyFill="1" applyBorder="1" applyAlignment="1">
      <alignment horizontal="right"/>
    </xf>
    <xf numFmtId="0" fontId="30" fillId="14" borderId="39" xfId="2" applyNumberFormat="1" applyFont="1" applyFill="1" applyBorder="1" applyAlignment="1">
      <alignment horizontal="right"/>
    </xf>
    <xf numFmtId="0" fontId="30" fillId="14" borderId="41" xfId="2" applyNumberFormat="1" applyFont="1" applyFill="1" applyBorder="1" applyAlignment="1">
      <alignment horizontal="right"/>
    </xf>
    <xf numFmtId="0" fontId="30" fillId="14" borderId="38" xfId="2" applyNumberFormat="1" applyFont="1" applyFill="1" applyBorder="1" applyAlignment="1">
      <alignment horizontal="right"/>
    </xf>
    <xf numFmtId="0" fontId="30" fillId="15" borderId="39" xfId="2" applyNumberFormat="1" applyFont="1" applyFill="1" applyBorder="1" applyAlignment="1">
      <alignment horizontal="right"/>
    </xf>
    <xf numFmtId="0" fontId="30" fillId="15" borderId="41" xfId="2" applyNumberFormat="1" applyFont="1" applyFill="1" applyBorder="1" applyAlignment="1">
      <alignment horizontal="right"/>
    </xf>
    <xf numFmtId="164" fontId="30" fillId="5" borderId="25" xfId="4" applyNumberFormat="1" applyFont="1" applyFill="1" applyBorder="1" applyAlignment="1">
      <alignment horizontal="center" vertical="center"/>
      <protection locked="0"/>
    </xf>
    <xf numFmtId="164" fontId="30" fillId="5" borderId="27" xfId="4" applyNumberFormat="1" applyFont="1" applyFill="1" applyBorder="1" applyAlignment="1">
      <alignment horizontal="center" vertical="center"/>
      <protection locked="0"/>
    </xf>
    <xf numFmtId="164" fontId="30" fillId="5" borderId="42" xfId="4" applyNumberFormat="1" applyFont="1" applyFill="1" applyBorder="1" applyAlignment="1">
      <alignment horizontal="center" vertical="center"/>
      <protection locked="0"/>
    </xf>
    <xf numFmtId="164" fontId="30" fillId="5" borderId="28" xfId="4" applyNumberFormat="1" applyFont="1" applyFill="1" applyBorder="1" applyAlignment="1">
      <alignment horizontal="center" vertical="center"/>
      <protection locked="0"/>
    </xf>
    <xf numFmtId="164" fontId="30" fillId="5" borderId="43" xfId="4" applyNumberFormat="1" applyFont="1" applyFill="1" applyBorder="1" applyAlignment="1">
      <alignment horizontal="center" vertical="center"/>
      <protection locked="0"/>
    </xf>
    <xf numFmtId="164" fontId="30" fillId="5" borderId="29" xfId="4" applyNumberFormat="1" applyFont="1" applyFill="1" applyBorder="1" applyAlignment="1">
      <alignment horizontal="center" vertical="center"/>
      <protection locked="0"/>
    </xf>
    <xf numFmtId="1" fontId="28" fillId="5" borderId="16" xfId="4" applyNumberFormat="1" applyFont="1" applyFill="1" applyBorder="1" applyAlignment="1">
      <alignment horizontal="center" vertical="center" wrapText="1"/>
      <protection locked="0"/>
    </xf>
    <xf numFmtId="1" fontId="28" fillId="5" borderId="37" xfId="4" applyNumberFormat="1" applyFont="1" applyFill="1" applyBorder="1" applyAlignment="1">
      <alignment horizontal="center" vertical="center" wrapText="1"/>
      <protection locked="0"/>
    </xf>
    <xf numFmtId="164" fontId="28" fillId="5" borderId="77" xfId="4" applyNumberFormat="1" applyFont="1" applyFill="1" applyBorder="1" applyAlignment="1">
      <alignment horizontal="center" vertical="center" wrapText="1"/>
      <protection locked="0"/>
    </xf>
    <xf numFmtId="164" fontId="28" fillId="5" borderId="31" xfId="4" applyNumberFormat="1" applyFont="1" applyFill="1" applyBorder="1" applyAlignment="1">
      <alignment horizontal="center" vertical="center" wrapText="1"/>
      <protection locked="0"/>
    </xf>
    <xf numFmtId="164" fontId="30" fillId="5" borderId="64" xfId="4" applyNumberFormat="1" applyFont="1" applyFill="1" applyBorder="1" applyAlignment="1">
      <alignment horizontal="center" vertical="center" wrapText="1"/>
      <protection locked="0"/>
    </xf>
    <xf numFmtId="164" fontId="30" fillId="5" borderId="43" xfId="4" applyNumberFormat="1" applyFont="1" applyFill="1" applyBorder="1" applyAlignment="1">
      <alignment horizontal="center" vertical="center" wrapText="1"/>
      <protection locked="0"/>
    </xf>
    <xf numFmtId="164" fontId="30" fillId="5" borderId="29" xfId="4" applyNumberFormat="1" applyFont="1" applyFill="1" applyBorder="1" applyAlignment="1">
      <alignment horizontal="center" vertical="center" wrapText="1"/>
      <protection locked="0"/>
    </xf>
    <xf numFmtId="164" fontId="30" fillId="5" borderId="69" xfId="4" applyNumberFormat="1" applyFont="1" applyFill="1" applyBorder="1" applyAlignment="1">
      <alignment horizontal="center" vertical="center" wrapText="1"/>
      <protection locked="0"/>
    </xf>
    <xf numFmtId="164" fontId="30" fillId="5" borderId="1" xfId="4" applyNumberFormat="1" applyFont="1" applyFill="1" applyBorder="1" applyAlignment="1">
      <alignment horizontal="center" vertical="center" wrapText="1"/>
      <protection locked="0"/>
    </xf>
    <xf numFmtId="164" fontId="30" fillId="5" borderId="32" xfId="4" applyNumberFormat="1" applyFont="1" applyFill="1" applyBorder="1" applyAlignment="1">
      <alignment horizontal="center" vertical="center" wrapText="1"/>
      <protection locked="0"/>
    </xf>
    <xf numFmtId="164" fontId="30" fillId="5" borderId="4" xfId="4" applyNumberFormat="1" applyFont="1" applyFill="1" applyBorder="1" applyAlignment="1">
      <alignment horizontal="center" vertical="center" wrapText="1"/>
      <protection locked="0"/>
    </xf>
    <xf numFmtId="3" fontId="30" fillId="5" borderId="27" xfId="4" applyNumberFormat="1" applyFont="1" applyFill="1" applyBorder="1" applyAlignment="1">
      <protection locked="0"/>
    </xf>
    <xf numFmtId="3" fontId="46" fillId="5" borderId="28" xfId="4" applyNumberFormat="1" applyFont="1" applyFill="1" applyBorder="1" applyAlignment="1">
      <protection locked="0"/>
    </xf>
    <xf numFmtId="3" fontId="46" fillId="5" borderId="29" xfId="4" applyNumberFormat="1" applyFont="1" applyFill="1" applyBorder="1" applyAlignment="1">
      <protection locked="0"/>
    </xf>
    <xf numFmtId="3" fontId="46" fillId="5" borderId="27" xfId="4" applyNumberFormat="1" applyFont="1" applyFill="1" applyBorder="1" applyAlignment="1">
      <protection locked="0"/>
    </xf>
    <xf numFmtId="3" fontId="46" fillId="5" borderId="31" xfId="4" applyNumberFormat="1" applyFont="1" applyFill="1" applyBorder="1" applyAlignment="1">
      <protection locked="0"/>
    </xf>
    <xf numFmtId="0" fontId="30" fillId="4" borderId="33" xfId="2" applyNumberFormat="1" applyFont="1" applyFill="1" applyBorder="1" applyAlignment="1">
      <alignment horizontal="right"/>
    </xf>
    <xf numFmtId="3" fontId="46" fillId="4" borderId="16" xfId="2" applyNumberFormat="1" applyFont="1" applyFill="1" applyBorder="1" applyAlignment="1"/>
    <xf numFmtId="0" fontId="28" fillId="3" borderId="73" xfId="2" applyNumberFormat="1" applyFont="1" applyFill="1" applyBorder="1" applyAlignment="1">
      <alignment vertical="center" wrapText="1"/>
    </xf>
    <xf numFmtId="0" fontId="28" fillId="3" borderId="16" xfId="2" applyNumberFormat="1" applyFont="1" applyFill="1" applyBorder="1" applyAlignment="1">
      <alignment vertical="center" wrapText="1"/>
    </xf>
    <xf numFmtId="0" fontId="28" fillId="3" borderId="30" xfId="2" applyNumberFormat="1" applyFont="1" applyFill="1" applyBorder="1" applyAlignment="1">
      <alignment horizontal="center" vertical="center" wrapText="1"/>
    </xf>
    <xf numFmtId="0" fontId="28" fillId="3" borderId="17" xfId="2" applyNumberFormat="1" applyFont="1" applyFill="1" applyBorder="1" applyAlignment="1">
      <alignment horizontal="center" vertical="center" wrapText="1"/>
    </xf>
    <xf numFmtId="0" fontId="28" fillId="3" borderId="24" xfId="2" applyNumberFormat="1" applyFont="1" applyFill="1" applyBorder="1" applyAlignment="1">
      <alignment horizontal="center" vertical="center" wrapText="1"/>
    </xf>
    <xf numFmtId="0" fontId="28" fillId="3" borderId="6" xfId="2" applyNumberFormat="1" applyFont="1" applyFill="1" applyBorder="1" applyAlignment="1">
      <alignment horizontal="center" vertical="center" wrapText="1"/>
    </xf>
    <xf numFmtId="0" fontId="28" fillId="3" borderId="7" xfId="2" applyNumberFormat="1" applyFont="1" applyFill="1" applyBorder="1" applyAlignment="1">
      <alignment horizontal="center" vertical="center" wrapText="1"/>
    </xf>
    <xf numFmtId="0" fontId="0" fillId="3" borderId="71" xfId="2" applyNumberFormat="1" applyFont="1" applyFill="1" applyBorder="1" applyAlignment="1"/>
    <xf numFmtId="0" fontId="30" fillId="3" borderId="27" xfId="2" applyNumberFormat="1" applyFont="1" applyFill="1" applyBorder="1" applyAlignment="1">
      <alignment horizontal="right" vertical="center" wrapText="1"/>
    </xf>
    <xf numFmtId="164" fontId="30" fillId="4" borderId="78" xfId="2" applyNumberFormat="1" applyFont="1" applyFill="1" applyBorder="1" applyAlignment="1">
      <alignment horizontal="center" vertical="center" wrapText="1"/>
    </xf>
    <xf numFmtId="0" fontId="30" fillId="3" borderId="28" xfId="2" applyNumberFormat="1" applyFont="1" applyFill="1" applyBorder="1" applyAlignment="1">
      <alignment horizontal="right" vertical="center" wrapText="1"/>
    </xf>
    <xf numFmtId="164" fontId="30" fillId="4" borderId="14" xfId="2" applyNumberFormat="1" applyFont="1" applyFill="1" applyBorder="1" applyAlignment="1">
      <alignment horizontal="center" vertical="center" wrapText="1"/>
    </xf>
    <xf numFmtId="164" fontId="30" fillId="4" borderId="41" xfId="2" applyNumberFormat="1" applyFont="1" applyFill="1" applyBorder="1" applyAlignment="1">
      <alignment horizontal="center" vertical="center" wrapText="1"/>
    </xf>
    <xf numFmtId="0" fontId="30" fillId="3" borderId="29" xfId="2" applyNumberFormat="1" applyFont="1" applyFill="1" applyBorder="1" applyAlignment="1">
      <alignment horizontal="right" vertical="center" wrapText="1"/>
    </xf>
    <xf numFmtId="164" fontId="30" fillId="4" borderId="38" xfId="2" applyNumberFormat="1" applyFont="1" applyFill="1" applyBorder="1" applyAlignment="1">
      <alignment horizontal="center" vertical="center" wrapText="1"/>
    </xf>
    <xf numFmtId="0" fontId="30" fillId="3" borderId="1" xfId="2" applyNumberFormat="1" applyFont="1" applyFill="1" applyBorder="1" applyAlignment="1">
      <alignment horizontal="right" vertical="center" wrapText="1"/>
    </xf>
    <xf numFmtId="2" fontId="30" fillId="8" borderId="53" xfId="2" applyNumberFormat="1" applyFont="1" applyFill="1" applyBorder="1" applyAlignment="1">
      <alignment horizontal="center" vertical="center" wrapText="1"/>
    </xf>
    <xf numFmtId="164" fontId="28" fillId="4" borderId="9" xfId="2" applyNumberFormat="1" applyFont="1" applyFill="1" applyBorder="1" applyAlignment="1">
      <alignment horizontal="center" vertical="center" wrapText="1"/>
    </xf>
    <xf numFmtId="164" fontId="28" fillId="4" borderId="3" xfId="2" applyNumberFormat="1" applyFont="1" applyFill="1" applyBorder="1" applyAlignment="1">
      <alignment horizontal="center" vertical="center" wrapText="1"/>
    </xf>
    <xf numFmtId="0" fontId="30" fillId="8" borderId="53" xfId="2" applyNumberFormat="1" applyFont="1" applyFill="1" applyBorder="1" applyAlignment="1">
      <alignment horizontal="center" vertical="center" wrapText="1"/>
    </xf>
    <xf numFmtId="164" fontId="28" fillId="4" borderId="49" xfId="2" applyNumberFormat="1" applyFont="1" applyFill="1" applyBorder="1" applyAlignment="1">
      <alignment horizontal="center" vertical="center" wrapText="1"/>
    </xf>
    <xf numFmtId="0" fontId="28" fillId="3" borderId="32" xfId="2" applyNumberFormat="1" applyFont="1" applyFill="1" applyBorder="1" applyAlignment="1">
      <alignment vertical="center" wrapText="1"/>
    </xf>
    <xf numFmtId="0" fontId="28" fillId="3" borderId="0" xfId="2" applyNumberFormat="1" applyFont="1" applyFill="1" applyBorder="1" applyAlignment="1">
      <alignment horizontal="center" vertical="center" wrapText="1"/>
    </xf>
    <xf numFmtId="0" fontId="28" fillId="3" borderId="62" xfId="2" applyNumberFormat="1" applyFont="1" applyFill="1" applyBorder="1" applyAlignment="1">
      <alignment horizontal="center" vertical="center" wrapText="1"/>
    </xf>
    <xf numFmtId="164" fontId="30" fillId="4" borderId="18" xfId="2" applyNumberFormat="1" applyFont="1" applyFill="1" applyBorder="1" applyAlignment="1">
      <alignment horizontal="center" vertical="center" wrapText="1"/>
    </xf>
    <xf numFmtId="164" fontId="0" fillId="4" borderId="18" xfId="2" applyNumberFormat="1" applyFont="1" applyFill="1" applyBorder="1" applyAlignment="1">
      <alignment horizontal="center"/>
    </xf>
    <xf numFmtId="164" fontId="0" fillId="4" borderId="41" xfId="2" applyNumberFormat="1" applyFont="1" applyFill="1" applyBorder="1" applyAlignment="1">
      <alignment horizontal="center"/>
    </xf>
    <xf numFmtId="2" fontId="30" fillId="8" borderId="12" xfId="2" applyNumberFormat="1" applyFont="1" applyFill="1" applyBorder="1" applyAlignment="1">
      <alignment vertical="center" wrapText="1"/>
    </xf>
    <xf numFmtId="164" fontId="30" fillId="8" borderId="8" xfId="2" applyNumberFormat="1" applyFont="1" applyFill="1" applyBorder="1" applyAlignment="1">
      <alignment vertical="center" wrapText="1"/>
    </xf>
    <xf numFmtId="0" fontId="30" fillId="8" borderId="12" xfId="2" applyNumberFormat="1" applyFont="1" applyFill="1" applyBorder="1" applyAlignment="1">
      <alignment horizontal="center" vertical="center" wrapText="1"/>
    </xf>
    <xf numFmtId="164" fontId="30" fillId="8" borderId="8" xfId="2" applyNumberFormat="1" applyFont="1" applyFill="1" applyBorder="1" applyAlignment="1">
      <alignment horizontal="center" vertical="center" wrapText="1"/>
    </xf>
    <xf numFmtId="0" fontId="30" fillId="3" borderId="16" xfId="2" applyNumberFormat="1" applyFont="1" applyFill="1" applyBorder="1" applyAlignment="1">
      <alignment horizontal="right" vertical="center" wrapText="1"/>
    </xf>
    <xf numFmtId="2" fontId="30" fillId="8" borderId="4" xfId="2" applyNumberFormat="1" applyFont="1" applyFill="1" applyBorder="1" applyAlignment="1">
      <alignment vertical="center" wrapText="1"/>
    </xf>
    <xf numFmtId="164" fontId="30" fillId="8" borderId="4" xfId="2" applyNumberFormat="1" applyFont="1" applyFill="1" applyBorder="1" applyAlignment="1">
      <alignment vertical="center" wrapText="1"/>
    </xf>
    <xf numFmtId="164" fontId="28" fillId="4" borderId="4" xfId="2" applyNumberFormat="1" applyFont="1" applyFill="1" applyBorder="1" applyAlignment="1">
      <alignment horizontal="center" vertical="center" wrapText="1"/>
    </xf>
    <xf numFmtId="0" fontId="30" fillId="8" borderId="32" xfId="2" applyNumberFormat="1" applyFont="1" applyFill="1" applyBorder="1" applyAlignment="1">
      <alignment horizontal="center" vertical="center" wrapText="1"/>
    </xf>
    <xf numFmtId="164" fontId="30" fillId="8" borderId="32" xfId="2" applyNumberFormat="1" applyFont="1" applyFill="1" applyBorder="1" applyAlignment="1">
      <alignment horizontal="center" vertical="center" wrapText="1"/>
    </xf>
    <xf numFmtId="164" fontId="28" fillId="4" borderId="2" xfId="2" applyNumberFormat="1" applyFont="1" applyFill="1" applyBorder="1" applyAlignment="1">
      <alignment horizontal="center" vertical="center" wrapText="1"/>
    </xf>
    <xf numFmtId="0" fontId="30" fillId="3" borderId="32" xfId="2" applyNumberFormat="1" applyFont="1" applyFill="1" applyBorder="1" applyAlignment="1">
      <alignment horizontal="right" vertical="center" wrapText="1"/>
    </xf>
    <xf numFmtId="0" fontId="30" fillId="8" borderId="4" xfId="2" applyNumberFormat="1" applyFont="1" applyFill="1" applyBorder="1" applyAlignment="1">
      <alignment vertical="center" wrapText="1"/>
    </xf>
    <xf numFmtId="0" fontId="30" fillId="8" borderId="0" xfId="2" applyNumberFormat="1" applyFont="1" applyFill="1" applyBorder="1" applyAlignment="1">
      <alignment vertical="center" wrapText="1"/>
    </xf>
    <xf numFmtId="0" fontId="28" fillId="4" borderId="0" xfId="2" applyNumberFormat="1" applyFont="1" applyFill="1" applyBorder="1" applyAlignment="1">
      <alignment horizontal="center" vertical="center" wrapText="1"/>
    </xf>
    <xf numFmtId="0" fontId="30" fillId="8" borderId="7" xfId="2" applyNumberFormat="1" applyFont="1" applyFill="1" applyBorder="1" applyAlignment="1">
      <alignment horizontal="center" vertical="center" wrapText="1"/>
    </xf>
    <xf numFmtId="0" fontId="28" fillId="4" borderId="4" xfId="2" applyNumberFormat="1" applyFont="1" applyFill="1" applyBorder="1" applyAlignment="1">
      <alignment horizontal="center" vertical="center" wrapText="1"/>
    </xf>
    <xf numFmtId="0" fontId="58" fillId="3" borderId="32" xfId="2" applyNumberFormat="1" applyFont="1" applyFill="1" applyBorder="1" applyAlignment="1">
      <alignment vertical="center" wrapText="1"/>
    </xf>
    <xf numFmtId="2" fontId="27" fillId="4" borderId="16" xfId="2" applyNumberFormat="1" applyFont="1" applyFill="1" applyBorder="1" applyAlignment="1">
      <alignment horizontal="center" vertical="center"/>
    </xf>
    <xf numFmtId="0" fontId="60" fillId="3" borderId="30" xfId="2" applyNumberFormat="1" applyFont="1" applyFill="1" applyBorder="1" applyAlignment="1">
      <alignment horizontal="center" vertical="center" wrapText="1"/>
    </xf>
    <xf numFmtId="0" fontId="0" fillId="3" borderId="23" xfId="2" applyNumberFormat="1" applyFont="1" applyFill="1" applyBorder="1" applyAlignment="1">
      <alignment horizontal="center" vertical="center" wrapText="1"/>
    </xf>
    <xf numFmtId="2" fontId="27" fillId="4" borderId="16" xfId="2" applyNumberFormat="1" applyFont="1" applyFill="1" applyBorder="1" applyAlignment="1">
      <alignment horizontal="center" vertical="center" wrapText="1"/>
    </xf>
    <xf numFmtId="0" fontId="0" fillId="3" borderId="7" xfId="2" applyNumberFormat="1" applyFont="1" applyFill="1" applyBorder="1" applyAlignment="1">
      <alignment horizontal="center" vertical="center" wrapText="1"/>
    </xf>
    <xf numFmtId="0" fontId="28" fillId="3" borderId="16" xfId="2" applyNumberFormat="1" applyFont="1" applyFill="1" applyBorder="1" applyAlignment="1"/>
    <xf numFmtId="2" fontId="27" fillId="4" borderId="16" xfId="2" applyNumberFormat="1" applyFont="1" applyFill="1" applyBorder="1" applyAlignment="1">
      <alignment horizontal="center"/>
    </xf>
    <xf numFmtId="0" fontId="60" fillId="3" borderId="6" xfId="2" applyNumberFormat="1" applyFont="1" applyFill="1" applyBorder="1" applyAlignment="1">
      <alignment horizontal="center" vertical="center" wrapText="1"/>
    </xf>
    <xf numFmtId="0" fontId="0" fillId="3" borderId="7" xfId="2" applyNumberFormat="1" applyFont="1" applyFill="1" applyBorder="1" applyAlignment="1">
      <alignment horizontal="center" wrapText="1"/>
    </xf>
    <xf numFmtId="0" fontId="58" fillId="3" borderId="1" xfId="2" applyNumberFormat="1" applyFont="1" applyFill="1" applyBorder="1" applyAlignment="1">
      <alignment vertical="center" wrapText="1"/>
    </xf>
    <xf numFmtId="0" fontId="0" fillId="3" borderId="1" xfId="2" applyNumberFormat="1" applyFont="1" applyFill="1" applyBorder="1" applyAlignment="1">
      <alignment wrapText="1"/>
    </xf>
    <xf numFmtId="0" fontId="0" fillId="3" borderId="2" xfId="2" applyNumberFormat="1" applyFont="1" applyFill="1" applyBorder="1" applyAlignment="1">
      <alignment wrapText="1"/>
    </xf>
    <xf numFmtId="0" fontId="0" fillId="3" borderId="4" xfId="2" applyNumberFormat="1" applyFont="1" applyFill="1" applyBorder="1" applyAlignment="1">
      <alignment wrapText="1"/>
    </xf>
    <xf numFmtId="0" fontId="50" fillId="10" borderId="33" xfId="2" applyNumberFormat="1" applyFont="1" applyFill="1" applyBorder="1" applyAlignment="1">
      <alignment vertical="center" wrapText="1"/>
    </xf>
    <xf numFmtId="0" fontId="50" fillId="10" borderId="52" xfId="2" applyNumberFormat="1" applyFont="1" applyFill="1" applyBorder="1" applyAlignment="1">
      <alignment vertical="center" wrapText="1"/>
    </xf>
    <xf numFmtId="0" fontId="50" fillId="3" borderId="33" xfId="2" applyNumberFormat="1" applyFont="1" applyFill="1" applyBorder="1" applyAlignment="1">
      <alignment vertical="center" wrapText="1"/>
    </xf>
    <xf numFmtId="0" fontId="0" fillId="3" borderId="33" xfId="2" applyNumberFormat="1" applyFont="1" applyFill="1" applyBorder="1" applyAlignment="1"/>
    <xf numFmtId="0" fontId="28" fillId="3" borderId="33" xfId="2" applyNumberFormat="1" applyFont="1" applyFill="1" applyBorder="1" applyAlignment="1">
      <alignment horizontal="left" vertical="center" wrapText="1"/>
    </xf>
    <xf numFmtId="0" fontId="28" fillId="3" borderId="22" xfId="2" applyNumberFormat="1" applyFont="1" applyFill="1" applyBorder="1" applyAlignment="1">
      <alignment horizontal="center" vertical="center" wrapText="1"/>
    </xf>
    <xf numFmtId="0" fontId="28" fillId="3" borderId="50" xfId="2" applyNumberFormat="1" applyFont="1" applyFill="1" applyBorder="1" applyAlignment="1">
      <alignment horizontal="center" vertical="center" wrapText="1"/>
    </xf>
    <xf numFmtId="0" fontId="28" fillId="3" borderId="70" xfId="2" applyNumberFormat="1" applyFont="1" applyFill="1" applyBorder="1" applyAlignment="1">
      <alignment horizontal="center" vertical="center" wrapText="1"/>
    </xf>
    <xf numFmtId="0" fontId="28" fillId="3" borderId="16" xfId="2" applyNumberFormat="1" applyFont="1" applyFill="1" applyBorder="1" applyAlignment="1">
      <alignment vertical="center"/>
    </xf>
    <xf numFmtId="0" fontId="28" fillId="3" borderId="53" xfId="2" applyNumberFormat="1" applyFont="1" applyFill="1" applyBorder="1" applyAlignment="1">
      <alignment horizontal="center" vertical="center" wrapText="1"/>
    </xf>
    <xf numFmtId="0" fontId="28" fillId="3" borderId="9" xfId="2" applyNumberFormat="1" applyFont="1" applyFill="1" applyBorder="1" applyAlignment="1">
      <alignment horizontal="center" vertical="center" wrapText="1"/>
    </xf>
    <xf numFmtId="0" fontId="28" fillId="3" borderId="49" xfId="2" applyNumberFormat="1" applyFont="1" applyFill="1" applyBorder="1" applyAlignment="1">
      <alignment horizontal="center" vertical="center" wrapText="1"/>
    </xf>
    <xf numFmtId="0" fontId="28" fillId="3" borderId="10" xfId="2" applyNumberFormat="1" applyFont="1" applyFill="1" applyBorder="1" applyAlignment="1">
      <alignment horizontal="center" vertical="center" wrapText="1"/>
    </xf>
    <xf numFmtId="0" fontId="0" fillId="3" borderId="37" xfId="2" applyNumberFormat="1" applyFont="1" applyFill="1" applyBorder="1" applyAlignment="1"/>
    <xf numFmtId="0" fontId="30" fillId="3" borderId="31" xfId="2" applyNumberFormat="1" applyFont="1" applyFill="1" applyBorder="1" applyAlignment="1">
      <alignment horizontal="right" vertical="center"/>
    </xf>
    <xf numFmtId="0" fontId="30" fillId="3" borderId="28" xfId="2" applyNumberFormat="1" applyFont="1" applyFill="1" applyBorder="1" applyAlignment="1">
      <alignment horizontal="right" vertical="center"/>
    </xf>
    <xf numFmtId="0" fontId="30" fillId="3" borderId="29" xfId="2" applyNumberFormat="1" applyFont="1" applyFill="1" applyBorder="1" applyAlignment="1">
      <alignment horizontal="right" vertical="center"/>
    </xf>
    <xf numFmtId="0" fontId="30" fillId="3" borderId="1" xfId="2" applyNumberFormat="1" applyFont="1" applyFill="1" applyBorder="1" applyAlignment="1">
      <alignment vertical="center" wrapText="1"/>
    </xf>
    <xf numFmtId="0" fontId="28" fillId="3" borderId="4" xfId="2" applyNumberFormat="1" applyFont="1" applyFill="1" applyBorder="1" applyAlignment="1">
      <alignment vertical="center" wrapText="1"/>
    </xf>
    <xf numFmtId="2" fontId="30" fillId="0" borderId="11" xfId="4" applyNumberFormat="1" applyFont="1" applyFill="1" applyBorder="1" applyAlignment="1">
      <alignment horizontal="center" vertical="center" wrapText="1"/>
      <protection locked="0"/>
    </xf>
    <xf numFmtId="164" fontId="30" fillId="0" borderId="5" xfId="4" applyNumberFormat="1" applyFont="1" applyFill="1" applyBorder="1" applyAlignment="1">
      <alignment horizontal="center" vertical="center" wrapText="1"/>
      <protection locked="0"/>
    </xf>
    <xf numFmtId="2" fontId="30" fillId="0" borderId="20" xfId="4" applyNumberFormat="1" applyFont="1" applyFill="1" applyBorder="1" applyAlignment="1">
      <alignment horizontal="center" vertical="center" wrapText="1"/>
      <protection locked="0"/>
    </xf>
    <xf numFmtId="164" fontId="30" fillId="0" borderId="13" xfId="4" applyNumberFormat="1" applyFont="1" applyFill="1" applyBorder="1" applyAlignment="1">
      <alignment horizontal="center" vertical="center" wrapText="1"/>
      <protection locked="0"/>
    </xf>
    <xf numFmtId="2" fontId="30" fillId="0" borderId="12" xfId="4" applyNumberFormat="1" applyFont="1" applyFill="1" applyBorder="1" applyAlignment="1">
      <alignment horizontal="center" vertical="center" wrapText="1"/>
      <protection locked="0"/>
    </xf>
    <xf numFmtId="164" fontId="30" fillId="0" borderId="8" xfId="4" applyNumberFormat="1" applyFont="1" applyFill="1" applyBorder="1" applyAlignment="1">
      <alignment horizontal="center" vertical="center" wrapText="1"/>
      <protection locked="0"/>
    </xf>
    <xf numFmtId="2" fontId="30" fillId="5" borderId="11" xfId="4" applyNumberFormat="1" applyFont="1" applyFill="1" applyBorder="1" applyAlignment="1">
      <alignment horizontal="center" vertical="center" wrapText="1"/>
      <protection locked="0"/>
    </xf>
    <xf numFmtId="164" fontId="30" fillId="5" borderId="5" xfId="4" applyNumberFormat="1" applyFont="1" applyFill="1" applyBorder="1" applyAlignment="1">
      <alignment horizontal="center" vertical="center" wrapText="1"/>
      <protection locked="0"/>
    </xf>
    <xf numFmtId="2" fontId="30" fillId="5" borderId="20" xfId="4" applyNumberFormat="1" applyFont="1" applyFill="1" applyBorder="1" applyAlignment="1">
      <alignment horizontal="center" vertical="center" wrapText="1"/>
      <protection locked="0"/>
    </xf>
    <xf numFmtId="164" fontId="30" fillId="5" borderId="13" xfId="4" applyNumberFormat="1" applyFont="1" applyFill="1" applyBorder="1" applyAlignment="1">
      <alignment horizontal="center" vertical="center" wrapText="1"/>
      <protection locked="0"/>
    </xf>
    <xf numFmtId="2" fontId="30" fillId="5" borderId="12" xfId="4" applyNumberFormat="1" applyFont="1" applyFill="1" applyBorder="1" applyAlignment="1">
      <alignment horizontal="center" vertical="center" wrapText="1"/>
      <protection locked="0"/>
    </xf>
    <xf numFmtId="164" fontId="30" fillId="5" borderId="8" xfId="4" applyNumberFormat="1" applyFont="1" applyFill="1" applyBorder="1" applyAlignment="1">
      <alignment horizontal="center" vertical="center" wrapText="1"/>
      <protection locked="0"/>
    </xf>
    <xf numFmtId="164" fontId="30" fillId="5" borderId="38" xfId="4" applyNumberFormat="1" applyFont="1" applyFill="1" applyBorder="1" applyAlignment="1">
      <alignment horizontal="center" vertical="center" wrapText="1"/>
      <protection locked="0"/>
    </xf>
    <xf numFmtId="0" fontId="27" fillId="5" borderId="16" xfId="4" applyNumberFormat="1" applyFont="1" applyFill="1" applyBorder="1" applyAlignment="1">
      <alignment horizontal="center" vertical="center"/>
      <protection locked="0"/>
    </xf>
    <xf numFmtId="0" fontId="30" fillId="5" borderId="21" xfId="4" applyNumberFormat="1" applyFont="1" applyFill="1" applyBorder="1" applyAlignment="1">
      <alignment horizontal="center" vertical="center" wrapText="1"/>
      <protection locked="0"/>
    </xf>
    <xf numFmtId="0" fontId="30" fillId="5" borderId="34" xfId="4" applyNumberFormat="1" applyFont="1" applyFill="1" applyBorder="1" applyAlignment="1">
      <alignment horizontal="center" vertical="center" wrapText="1"/>
      <protection locked="0"/>
    </xf>
    <xf numFmtId="0" fontId="30" fillId="5" borderId="40" xfId="4" applyNumberFormat="1" applyFont="1" applyFill="1" applyBorder="1" applyAlignment="1">
      <alignment vertical="center" wrapText="1"/>
      <protection locked="0"/>
    </xf>
    <xf numFmtId="0" fontId="30" fillId="5" borderId="57" xfId="4" applyNumberFormat="1" applyFont="1" applyFill="1" applyBorder="1" applyAlignment="1">
      <alignment vertical="center" wrapText="1"/>
      <protection locked="0"/>
    </xf>
    <xf numFmtId="0" fontId="30" fillId="5" borderId="40" xfId="4" applyNumberFormat="1" applyFont="1" applyFill="1" applyBorder="1" applyAlignment="1">
      <alignment horizontal="center" vertical="center" wrapText="1"/>
      <protection locked="0"/>
    </xf>
    <xf numFmtId="0" fontId="30" fillId="5" borderId="27" xfId="4" applyNumberFormat="1" applyFont="1" applyFill="1" applyBorder="1" applyAlignment="1">
      <alignment horizontal="center" vertical="center" wrapText="1"/>
      <protection locked="0"/>
    </xf>
    <xf numFmtId="0" fontId="30" fillId="5" borderId="20" xfId="4" applyNumberFormat="1" applyFont="1" applyFill="1" applyBorder="1" applyAlignment="1">
      <alignment horizontal="center" vertical="center" wrapText="1"/>
      <protection locked="0"/>
    </xf>
    <xf numFmtId="0" fontId="30" fillId="5" borderId="13" xfId="4" applyNumberFormat="1" applyFont="1" applyFill="1" applyBorder="1" applyAlignment="1">
      <alignment horizontal="center" vertical="center" wrapText="1"/>
      <protection locked="0"/>
    </xf>
    <xf numFmtId="0" fontId="30" fillId="5" borderId="14" xfId="4" applyNumberFormat="1" applyFont="1" applyFill="1" applyBorder="1" applyAlignment="1">
      <alignment vertical="center" wrapText="1"/>
      <protection locked="0"/>
    </xf>
    <xf numFmtId="0" fontId="30" fillId="5" borderId="45" xfId="4" applyNumberFormat="1" applyFont="1" applyFill="1" applyBorder="1" applyAlignment="1">
      <alignment vertical="center" wrapText="1"/>
      <protection locked="0"/>
    </xf>
    <xf numFmtId="0" fontId="30" fillId="5" borderId="14" xfId="4" applyNumberFormat="1" applyFont="1" applyFill="1" applyBorder="1" applyAlignment="1">
      <alignment horizontal="center" vertical="center" wrapText="1"/>
      <protection locked="0"/>
    </xf>
    <xf numFmtId="0" fontId="30" fillId="5" borderId="28" xfId="4" applyNumberFormat="1" applyFont="1" applyFill="1" applyBorder="1" applyAlignment="1">
      <alignment horizontal="center" vertical="center" wrapText="1"/>
      <protection locked="0"/>
    </xf>
    <xf numFmtId="0" fontId="30" fillId="5" borderId="12" xfId="4" applyNumberFormat="1" applyFont="1" applyFill="1" applyBorder="1" applyAlignment="1">
      <alignment horizontal="center" vertical="center" wrapText="1"/>
      <protection locked="0"/>
    </xf>
    <xf numFmtId="0" fontId="30" fillId="5" borderId="8" xfId="4" applyNumberFormat="1" applyFont="1" applyFill="1" applyBorder="1" applyAlignment="1">
      <alignment horizontal="center" vertical="center" wrapText="1"/>
      <protection locked="0"/>
    </xf>
    <xf numFmtId="0" fontId="30" fillId="5" borderId="35" xfId="4" applyNumberFormat="1" applyFont="1" applyFill="1" applyBorder="1" applyAlignment="1">
      <alignment vertical="center" wrapText="1"/>
      <protection locked="0"/>
    </xf>
    <xf numFmtId="0" fontId="30" fillId="5" borderId="47" xfId="4" applyNumberFormat="1" applyFont="1" applyFill="1" applyBorder="1" applyAlignment="1">
      <alignment vertical="center" wrapText="1"/>
      <protection locked="0"/>
    </xf>
    <xf numFmtId="0" fontId="30" fillId="5" borderId="35" xfId="4" applyNumberFormat="1" applyFont="1" applyFill="1" applyBorder="1" applyAlignment="1">
      <alignment horizontal="center" vertical="center" wrapText="1"/>
      <protection locked="0"/>
    </xf>
    <xf numFmtId="0" fontId="30" fillId="5" borderId="32" xfId="4" applyNumberFormat="1" applyFont="1" applyFill="1" applyBorder="1" applyAlignment="1">
      <alignment horizontal="center" vertical="center" wrapText="1"/>
      <protection locked="0"/>
    </xf>
    <xf numFmtId="0" fontId="30" fillId="5" borderId="34" xfId="4" applyNumberFormat="1" applyFont="1" applyFill="1" applyBorder="1" applyAlignment="1">
      <alignment vertical="center" wrapText="1"/>
      <protection locked="0"/>
    </xf>
    <xf numFmtId="0" fontId="30" fillId="5" borderId="27" xfId="4" applyNumberFormat="1" applyFont="1" applyFill="1" applyBorder="1" applyAlignment="1">
      <alignment vertical="center" wrapText="1"/>
      <protection locked="0"/>
    </xf>
    <xf numFmtId="0" fontId="30" fillId="5" borderId="13" xfId="4" applyNumberFormat="1" applyFont="1" applyFill="1" applyBorder="1" applyAlignment="1">
      <alignment vertical="center" wrapText="1"/>
      <protection locked="0"/>
    </xf>
    <xf numFmtId="0" fontId="30" fillId="5" borderId="28" xfId="4" applyNumberFormat="1" applyFont="1" applyFill="1" applyBorder="1" applyAlignment="1">
      <alignment vertical="center" wrapText="1"/>
      <protection locked="0"/>
    </xf>
    <xf numFmtId="0" fontId="30" fillId="5" borderId="8" xfId="4" applyNumberFormat="1" applyFont="1" applyFill="1" applyBorder="1" applyAlignment="1">
      <alignment vertical="center" wrapText="1"/>
      <protection locked="0"/>
    </xf>
    <xf numFmtId="0" fontId="30" fillId="5" borderId="29" xfId="4" applyNumberFormat="1" applyFont="1" applyFill="1" applyBorder="1" applyAlignment="1">
      <alignment vertical="center" wrapText="1"/>
      <protection locked="0"/>
    </xf>
    <xf numFmtId="0" fontId="30" fillId="0" borderId="21" xfId="4" applyNumberFormat="1" applyFont="1" applyFill="1" applyBorder="1" applyAlignment="1">
      <alignment horizontal="center" vertical="center" wrapText="1"/>
      <protection locked="0"/>
    </xf>
    <xf numFmtId="0" fontId="30" fillId="0" borderId="34" xfId="4" applyNumberFormat="1" applyFont="1" applyFill="1" applyBorder="1" applyAlignment="1">
      <alignment vertical="center" wrapText="1"/>
      <protection locked="0"/>
    </xf>
    <xf numFmtId="0" fontId="30" fillId="0" borderId="40" xfId="4" applyNumberFormat="1" applyFont="1" applyFill="1" applyBorder="1" applyAlignment="1">
      <alignment vertical="center" wrapText="1"/>
      <protection locked="0"/>
    </xf>
    <xf numFmtId="0" fontId="30" fillId="0" borderId="57" xfId="4" applyNumberFormat="1" applyFont="1" applyFill="1" applyBorder="1" applyAlignment="1">
      <alignment vertical="center" wrapText="1"/>
      <protection locked="0"/>
    </xf>
    <xf numFmtId="0" fontId="30" fillId="0" borderId="27" xfId="4" applyNumberFormat="1" applyFont="1" applyFill="1" applyBorder="1" applyAlignment="1">
      <alignment vertical="center" wrapText="1"/>
      <protection locked="0"/>
    </xf>
    <xf numFmtId="0" fontId="30" fillId="0" borderId="20" xfId="4" applyNumberFormat="1" applyFont="1" applyFill="1" applyBorder="1" applyAlignment="1">
      <alignment horizontal="center" vertical="center" wrapText="1"/>
      <protection locked="0"/>
    </xf>
    <xf numFmtId="0" fontId="30" fillId="0" borderId="13" xfId="4" applyNumberFormat="1" applyFont="1" applyFill="1" applyBorder="1" applyAlignment="1">
      <alignment vertical="center" wrapText="1"/>
      <protection locked="0"/>
    </xf>
    <xf numFmtId="0" fontId="30" fillId="0" borderId="14" xfId="4" applyNumberFormat="1" applyFont="1" applyFill="1" applyBorder="1" applyAlignment="1">
      <alignment vertical="center" wrapText="1"/>
      <protection locked="0"/>
    </xf>
    <xf numFmtId="0" fontId="30" fillId="0" borderId="45" xfId="4" applyNumberFormat="1" applyFont="1" applyFill="1" applyBorder="1" applyAlignment="1">
      <alignment vertical="center" wrapText="1"/>
      <protection locked="0"/>
    </xf>
    <xf numFmtId="0" fontId="30" fillId="0" borderId="28" xfId="4" applyNumberFormat="1" applyFont="1" applyFill="1" applyBorder="1" applyAlignment="1">
      <alignment vertical="center" wrapText="1"/>
      <protection locked="0"/>
    </xf>
    <xf numFmtId="0" fontId="30" fillId="0" borderId="12" xfId="4" applyNumberFormat="1" applyFont="1" applyFill="1" applyBorder="1" applyAlignment="1">
      <alignment horizontal="center" vertical="center" wrapText="1"/>
      <protection locked="0"/>
    </xf>
    <xf numFmtId="0" fontId="30" fillId="0" borderId="8" xfId="4" applyNumberFormat="1" applyFont="1" applyFill="1" applyBorder="1" applyAlignment="1">
      <alignment vertical="center" wrapText="1"/>
      <protection locked="0"/>
    </xf>
    <xf numFmtId="0" fontId="30" fillId="0" borderId="35" xfId="4" applyNumberFormat="1" applyFont="1" applyFill="1" applyBorder="1" applyAlignment="1">
      <alignment vertical="center" wrapText="1"/>
      <protection locked="0"/>
    </xf>
    <xf numFmtId="0" fontId="30" fillId="0" borderId="47" xfId="4" applyNumberFormat="1" applyFont="1" applyFill="1" applyBorder="1" applyAlignment="1">
      <alignment vertical="center" wrapText="1"/>
      <protection locked="0"/>
    </xf>
    <xf numFmtId="0" fontId="30" fillId="0" borderId="29" xfId="4" applyNumberFormat="1" applyFont="1" applyFill="1" applyBorder="1" applyAlignment="1">
      <alignment vertical="center" wrapText="1"/>
      <protection locked="0"/>
    </xf>
    <xf numFmtId="0" fontId="0" fillId="0" borderId="20" xfId="4" applyNumberFormat="1" applyFont="1" applyFill="1" applyBorder="1" applyAlignment="1">
      <protection locked="0"/>
    </xf>
    <xf numFmtId="0" fontId="30" fillId="5" borderId="27" xfId="4" applyNumberFormat="1" applyFont="1" applyFill="1" applyBorder="1" applyAlignment="1">
      <alignment horizontal="right" vertical="center" wrapText="1"/>
      <protection locked="0"/>
    </xf>
    <xf numFmtId="0" fontId="30" fillId="5" borderId="28" xfId="4" applyNumberFormat="1" applyFont="1" applyFill="1" applyBorder="1" applyAlignment="1">
      <alignment horizontal="right" vertical="center" wrapText="1"/>
      <protection locked="0"/>
    </xf>
    <xf numFmtId="0" fontId="28" fillId="5" borderId="29" xfId="4" applyNumberFormat="1" applyFont="1" applyFill="1" applyBorder="1" applyAlignment="1">
      <alignment horizontal="right" vertical="center" wrapText="1"/>
      <protection locked="0"/>
    </xf>
    <xf numFmtId="0" fontId="30" fillId="0" borderId="12" xfId="4" applyNumberFormat="1" applyFont="1" applyFill="1" applyBorder="1" applyAlignment="1">
      <alignment vertical="center" wrapText="1"/>
      <protection locked="0"/>
    </xf>
    <xf numFmtId="0" fontId="45" fillId="3" borderId="16" xfId="2" applyNumberFormat="1" applyFont="1" applyFill="1" applyBorder="1" applyAlignment="1">
      <alignment horizontal="left" vertical="center" wrapText="1"/>
    </xf>
    <xf numFmtId="0" fontId="45" fillId="3" borderId="30" xfId="2" applyNumberFormat="1" applyFont="1" applyFill="1" applyBorder="1" applyAlignment="1">
      <alignment horizontal="center" vertical="center" wrapText="1"/>
    </xf>
    <xf numFmtId="0" fontId="26" fillId="3" borderId="0" xfId="2" applyNumberFormat="1" applyFont="1" applyFill="1" applyBorder="1" applyAlignment="1"/>
    <xf numFmtId="0" fontId="76" fillId="3" borderId="1" xfId="2" applyNumberFormat="1" applyFont="1" applyFill="1" applyBorder="1" applyAlignment="1">
      <alignment vertical="center" wrapText="1"/>
    </xf>
    <xf numFmtId="2" fontId="30" fillId="21" borderId="11" xfId="2" applyNumberFormat="1" applyFont="1" applyFill="1" applyBorder="1" applyAlignment="1">
      <alignment horizontal="center" vertical="center"/>
    </xf>
    <xf numFmtId="2" fontId="30" fillId="21" borderId="5" xfId="2" applyNumberFormat="1" applyFont="1" applyFill="1" applyBorder="1" applyAlignment="1">
      <alignment horizontal="center" vertical="center" wrapText="1"/>
    </xf>
    <xf numFmtId="2" fontId="30" fillId="21" borderId="63" xfId="2" applyNumberFormat="1" applyFont="1" applyFill="1" applyBorder="1" applyAlignment="1">
      <alignment horizontal="center" vertical="center" wrapText="1"/>
    </xf>
    <xf numFmtId="2" fontId="30" fillId="21" borderId="20" xfId="2" applyNumberFormat="1" applyFont="1" applyFill="1" applyBorder="1" applyAlignment="1">
      <alignment horizontal="center" vertical="center"/>
    </xf>
    <xf numFmtId="2" fontId="30" fillId="21" borderId="13" xfId="2" applyNumberFormat="1" applyFont="1" applyFill="1" applyBorder="1" applyAlignment="1">
      <alignment horizontal="center" vertical="center"/>
    </xf>
    <xf numFmtId="2" fontId="30" fillId="21" borderId="14" xfId="2" applyNumberFormat="1" applyFont="1" applyFill="1" applyBorder="1" applyAlignment="1">
      <alignment horizontal="center" vertical="center" wrapText="1"/>
    </xf>
    <xf numFmtId="2" fontId="30" fillId="4" borderId="13" xfId="2" applyNumberFormat="1" applyFont="1" applyFill="1" applyBorder="1" applyAlignment="1">
      <alignment horizontal="center" vertical="center"/>
    </xf>
    <xf numFmtId="0" fontId="23" fillId="3" borderId="33" xfId="2" applyNumberFormat="1" applyFont="1" applyFill="1" applyBorder="1" applyAlignment="1">
      <alignment wrapText="1"/>
    </xf>
    <xf numFmtId="0" fontId="34" fillId="3" borderId="0" xfId="2" applyNumberFormat="1" applyFont="1" applyFill="1" applyBorder="1" applyAlignment="1"/>
    <xf numFmtId="0" fontId="23" fillId="3" borderId="1" xfId="2" applyNumberFormat="1" applyFont="1" applyFill="1" applyBorder="1" applyAlignment="1">
      <alignment wrapText="1"/>
    </xf>
    <xf numFmtId="0" fontId="27" fillId="3" borderId="71" xfId="2" applyNumberFormat="1" applyFont="1" applyFill="1" applyBorder="1" applyAlignment="1">
      <alignment horizontal="center"/>
    </xf>
    <xf numFmtId="0" fontId="27" fillId="3" borderId="24" xfId="2" applyNumberFormat="1" applyFont="1" applyFill="1" applyBorder="1" applyAlignment="1">
      <alignment horizontal="center"/>
    </xf>
    <xf numFmtId="2" fontId="30" fillId="21" borderId="42" xfId="2" applyNumberFormat="1" applyFont="1" applyFill="1" applyBorder="1" applyAlignment="1">
      <alignment horizontal="center" vertical="center"/>
    </xf>
    <xf numFmtId="2" fontId="30" fillId="21" borderId="45" xfId="2" applyNumberFormat="1" applyFont="1" applyFill="1" applyBorder="1" applyAlignment="1">
      <alignment horizontal="center" vertical="center"/>
    </xf>
    <xf numFmtId="164" fontId="23" fillId="4" borderId="13" xfId="2" applyNumberFormat="1" applyFont="1" applyFill="1" applyBorder="1" applyAlignment="1">
      <alignment horizontal="center"/>
    </xf>
    <xf numFmtId="0" fontId="23" fillId="3" borderId="32" xfId="2" applyNumberFormat="1" applyFont="1" applyFill="1" applyBorder="1" applyAlignment="1">
      <alignment horizontal="center"/>
    </xf>
    <xf numFmtId="0" fontId="30" fillId="3" borderId="32" xfId="2" applyNumberFormat="1" applyFont="1" applyFill="1" applyBorder="1" applyAlignment="1">
      <alignment horizontal="center"/>
    </xf>
    <xf numFmtId="0" fontId="30" fillId="3" borderId="4" xfId="2" applyNumberFormat="1" applyFont="1" applyFill="1" applyBorder="1" applyAlignment="1">
      <alignment horizontal="center"/>
    </xf>
    <xf numFmtId="0" fontId="23" fillId="3" borderId="16" xfId="2" applyNumberFormat="1" applyFont="1" applyFill="1" applyBorder="1" applyAlignment="1"/>
    <xf numFmtId="0" fontId="30" fillId="4" borderId="34" xfId="2" applyNumberFormat="1" applyFont="1" applyFill="1" applyBorder="1" applyAlignment="1"/>
    <xf numFmtId="4" fontId="30" fillId="4" borderId="13" xfId="2" applyNumberFormat="1" applyFont="1" applyFill="1" applyBorder="1" applyAlignment="1"/>
    <xf numFmtId="0" fontId="30" fillId="4" borderId="13" xfId="2" applyNumberFormat="1" applyFont="1" applyFill="1" applyBorder="1" applyAlignment="1"/>
    <xf numFmtId="2" fontId="30" fillId="4" borderId="42" xfId="2" applyNumberFormat="1" applyFont="1" applyFill="1" applyBorder="1" applyAlignment="1">
      <alignment horizontal="center" vertical="center"/>
    </xf>
    <xf numFmtId="2" fontId="30" fillId="4" borderId="45" xfId="2" applyNumberFormat="1" applyFont="1" applyFill="1" applyBorder="1" applyAlignment="1">
      <alignment horizontal="center" vertical="center"/>
    </xf>
    <xf numFmtId="0" fontId="23" fillId="3" borderId="33" xfId="2" applyNumberFormat="1" applyFont="1" applyFill="1" applyBorder="1" applyAlignment="1"/>
    <xf numFmtId="0" fontId="86" fillId="3" borderId="1" xfId="2" applyNumberFormat="1" applyFont="1" applyFill="1" applyBorder="1" applyAlignment="1">
      <alignment vertical="center" wrapText="1"/>
    </xf>
    <xf numFmtId="2" fontId="27" fillId="21" borderId="33" xfId="2" applyNumberFormat="1" applyFont="1" applyFill="1" applyBorder="1" applyAlignment="1">
      <alignment horizontal="center" vertical="center"/>
    </xf>
    <xf numFmtId="2" fontId="30" fillId="21" borderId="50" xfId="2" applyNumberFormat="1" applyFont="1" applyFill="1" applyBorder="1" applyAlignment="1">
      <alignment horizontal="center" vertical="center" wrapText="1"/>
    </xf>
    <xf numFmtId="2" fontId="30" fillId="21" borderId="21" xfId="2" applyNumberFormat="1" applyFont="1" applyFill="1" applyBorder="1" applyAlignment="1">
      <alignment horizontal="center" vertical="center"/>
    </xf>
    <xf numFmtId="2" fontId="30" fillId="21" borderId="34" xfId="2" applyNumberFormat="1" applyFont="1" applyFill="1" applyBorder="1" applyAlignment="1">
      <alignment horizontal="center" vertical="center"/>
    </xf>
    <xf numFmtId="2" fontId="30" fillId="21" borderId="40" xfId="2" applyNumberFormat="1" applyFont="1" applyFill="1" applyBorder="1" applyAlignment="1">
      <alignment horizontal="center" vertical="center" wrapText="1"/>
    </xf>
    <xf numFmtId="2" fontId="30" fillId="21" borderId="12" xfId="2" applyNumberFormat="1" applyFont="1" applyFill="1" applyBorder="1" applyAlignment="1">
      <alignment horizontal="center" vertical="center"/>
    </xf>
    <xf numFmtId="2" fontId="30" fillId="21" borderId="8" xfId="2" applyNumberFormat="1" applyFont="1" applyFill="1" applyBorder="1" applyAlignment="1">
      <alignment horizontal="center" vertical="center"/>
    </xf>
    <xf numFmtId="2" fontId="30" fillId="21" borderId="35" xfId="2" applyNumberFormat="1" applyFont="1" applyFill="1" applyBorder="1" applyAlignment="1">
      <alignment horizontal="center" vertical="center" wrapText="1"/>
    </xf>
    <xf numFmtId="0" fontId="86" fillId="3" borderId="23" xfId="2" applyNumberFormat="1" applyFont="1" applyFill="1" applyBorder="1" applyAlignment="1">
      <alignment vertical="center" wrapText="1"/>
    </xf>
    <xf numFmtId="0" fontId="0" fillId="3" borderId="0" xfId="2" applyNumberFormat="1" applyFont="1" applyFill="1" applyBorder="1" applyAlignment="1">
      <alignment horizontal="right"/>
    </xf>
    <xf numFmtId="2" fontId="0" fillId="3" borderId="0" xfId="2" applyNumberFormat="1" applyFont="1" applyFill="1" applyBorder="1" applyAlignment="1"/>
    <xf numFmtId="2" fontId="30" fillId="5" borderId="13" xfId="4" applyNumberFormat="1" applyFont="1" applyFill="1" applyBorder="1" applyAlignment="1">
      <alignment horizontal="center" vertical="center"/>
      <protection locked="0"/>
    </xf>
    <xf numFmtId="2" fontId="30" fillId="5" borderId="13" xfId="4" applyNumberFormat="1" applyFont="1" applyFill="1" applyBorder="1" applyAlignment="1">
      <alignment horizontal="center"/>
      <protection locked="0"/>
    </xf>
    <xf numFmtId="2" fontId="30" fillId="5" borderId="42" xfId="4" applyNumberFormat="1" applyFont="1" applyFill="1" applyBorder="1" applyAlignment="1">
      <alignment horizontal="center"/>
      <protection locked="0"/>
    </xf>
    <xf numFmtId="2" fontId="30" fillId="5" borderId="45" xfId="4" applyNumberFormat="1" applyFont="1" applyFill="1" applyBorder="1" applyAlignment="1">
      <alignment horizontal="center"/>
      <protection locked="0"/>
    </xf>
    <xf numFmtId="1" fontId="30" fillId="5" borderId="34" xfId="4" applyNumberFormat="1" applyFont="1" applyFill="1" applyBorder="1" applyAlignment="1">
      <protection locked="0"/>
    </xf>
    <xf numFmtId="1" fontId="30" fillId="5" borderId="13" xfId="4" applyNumberFormat="1" applyFont="1" applyFill="1" applyBorder="1" applyAlignment="1">
      <protection locked="0"/>
    </xf>
    <xf numFmtId="0" fontId="30" fillId="5" borderId="13" xfId="4" applyNumberFormat="1" applyFont="1" applyFill="1" applyBorder="1" applyAlignment="1">
      <protection locked="0"/>
    </xf>
    <xf numFmtId="0" fontId="29" fillId="3" borderId="0" xfId="2" applyNumberFormat="1" applyFont="1" applyFill="1" applyBorder="1" applyAlignment="1"/>
    <xf numFmtId="0" fontId="23" fillId="3" borderId="0" xfId="2" applyNumberFormat="1" applyFont="1" applyFill="1" applyBorder="1" applyAlignment="1">
      <alignment horizontal="right"/>
    </xf>
    <xf numFmtId="0" fontId="23" fillId="4" borderId="41" xfId="2" applyNumberFormat="1" applyFont="1" applyFill="1" applyBorder="1" applyAlignment="1">
      <alignment horizontal="left"/>
    </xf>
    <xf numFmtId="0" fontId="43" fillId="3" borderId="0" xfId="2" applyNumberFormat="1" applyFont="1" applyFill="1" applyBorder="1" applyAlignment="1">
      <alignment horizontal="right"/>
    </xf>
    <xf numFmtId="0" fontId="42" fillId="3" borderId="0" xfId="2" applyNumberFormat="1" applyFont="1" applyFill="1" applyBorder="1" applyAlignment="1">
      <alignment horizontal="right"/>
    </xf>
    <xf numFmtId="0" fontId="23" fillId="5" borderId="13" xfId="2" applyNumberFormat="1" applyFont="1" applyFill="1" applyBorder="1" applyAlignment="1"/>
    <xf numFmtId="0" fontId="23" fillId="0" borderId="13" xfId="2" applyNumberFormat="1" applyFont="1" applyFill="1" applyBorder="1" applyAlignment="1"/>
    <xf numFmtId="0" fontId="23" fillId="4" borderId="13" xfId="2" applyNumberFormat="1" applyFont="1" applyFill="1" applyBorder="1" applyAlignment="1">
      <alignment horizontal="right"/>
    </xf>
    <xf numFmtId="0" fontId="23" fillId="4" borderId="13" xfId="2" applyNumberFormat="1" applyFont="1" applyFill="1" applyBorder="1" applyAlignment="1"/>
    <xf numFmtId="0" fontId="42" fillId="3" borderId="0" xfId="2" applyNumberFormat="1" applyFont="1" applyFill="1" applyBorder="1" applyAlignment="1"/>
    <xf numFmtId="0" fontId="30" fillId="0" borderId="13" xfId="2" applyNumberFormat="1" applyFont="1" applyFill="1" applyBorder="1" applyAlignment="1">
      <alignment horizontal="right"/>
    </xf>
    <xf numFmtId="0" fontId="30" fillId="0" borderId="0" xfId="2" applyNumberFormat="1" applyFont="1" applyFill="1" applyBorder="1" applyAlignment="1">
      <alignment horizontal="right"/>
    </xf>
    <xf numFmtId="0" fontId="33" fillId="3" borderId="0" xfId="2" applyNumberFormat="1" applyFont="1" applyFill="1" applyBorder="1" applyAlignment="1"/>
    <xf numFmtId="0" fontId="32" fillId="3" borderId="11" xfId="2" applyNumberFormat="1" applyFont="1" applyFill="1" applyBorder="1" applyAlignment="1">
      <alignment horizontal="center" wrapText="1"/>
    </xf>
    <xf numFmtId="0" fontId="11" fillId="3" borderId="5" xfId="2" applyNumberFormat="1" applyFont="1" applyFill="1" applyBorder="1" applyAlignment="1">
      <alignment horizontal="center" wrapText="1"/>
    </xf>
    <xf numFmtId="0" fontId="27" fillId="3" borderId="19" xfId="2" applyNumberFormat="1" applyFont="1" applyFill="1" applyBorder="1" applyAlignment="1">
      <alignment horizontal="center" wrapText="1"/>
    </xf>
    <xf numFmtId="0" fontId="27" fillId="3" borderId="5" xfId="2" applyNumberFormat="1" applyFont="1" applyFill="1" applyBorder="1" applyAlignment="1">
      <alignment horizontal="center" wrapText="1"/>
    </xf>
    <xf numFmtId="0" fontId="27" fillId="3" borderId="63" xfId="2" applyNumberFormat="1" applyFont="1" applyFill="1" applyBorder="1" applyAlignment="1">
      <alignment horizontal="center" wrapText="1"/>
    </xf>
    <xf numFmtId="0" fontId="11" fillId="3" borderId="19" xfId="2" applyNumberFormat="1" applyFont="1" applyFill="1" applyBorder="1" applyAlignment="1">
      <alignment horizontal="center" wrapText="1"/>
    </xf>
    <xf numFmtId="0" fontId="27" fillId="3" borderId="18" xfId="2" applyNumberFormat="1" applyFont="1" applyFill="1" applyBorder="1" applyAlignment="1">
      <alignment horizontal="center" wrapText="1"/>
    </xf>
    <xf numFmtId="0" fontId="26" fillId="3" borderId="1" xfId="2" applyNumberFormat="1" applyFont="1" applyFill="1" applyBorder="1" applyAlignment="1"/>
    <xf numFmtId="0" fontId="38" fillId="3" borderId="8" xfId="2" applyNumberFormat="1" applyFont="1" applyFill="1" applyBorder="1" applyAlignment="1">
      <alignment horizontal="center"/>
    </xf>
    <xf numFmtId="0" fontId="28" fillId="3" borderId="65" xfId="2" applyNumberFormat="1" applyFont="1" applyFill="1" applyBorder="1" applyAlignment="1">
      <alignment horizontal="center"/>
    </xf>
    <xf numFmtId="0" fontId="28" fillId="3" borderId="8" xfId="2" applyNumberFormat="1" applyFont="1" applyFill="1" applyBorder="1" applyAlignment="1">
      <alignment horizontal="center"/>
    </xf>
    <xf numFmtId="0" fontId="28" fillId="3" borderId="49" xfId="2" applyNumberFormat="1" applyFont="1" applyFill="1" applyBorder="1" applyAlignment="1">
      <alignment horizontal="center"/>
    </xf>
    <xf numFmtId="0" fontId="38" fillId="3" borderId="47" xfId="2" applyNumberFormat="1" applyFont="1" applyFill="1" applyBorder="1" applyAlignment="1">
      <alignment horizontal="center"/>
    </xf>
    <xf numFmtId="0" fontId="26" fillId="3" borderId="3" xfId="2" applyNumberFormat="1" applyFont="1" applyFill="1" applyBorder="1" applyAlignment="1">
      <alignment horizontal="center"/>
    </xf>
    <xf numFmtId="0" fontId="26" fillId="3" borderId="2" xfId="2" applyNumberFormat="1" applyFont="1" applyFill="1" applyBorder="1" applyAlignment="1">
      <alignment horizontal="center"/>
    </xf>
    <xf numFmtId="0" fontId="26" fillId="3" borderId="4" xfId="2" applyNumberFormat="1" applyFont="1" applyFill="1" applyBorder="1" applyAlignment="1">
      <alignment horizontal="center"/>
    </xf>
    <xf numFmtId="0" fontId="23" fillId="3" borderId="30" xfId="2" applyNumberFormat="1" applyFont="1" applyFill="1" applyBorder="1" applyAlignment="1">
      <alignment horizontal="right"/>
    </xf>
    <xf numFmtId="0" fontId="23" fillId="3" borderId="6" xfId="2" applyNumberFormat="1" applyFont="1" applyFill="1" applyBorder="1" applyAlignment="1">
      <alignment horizontal="right"/>
    </xf>
    <xf numFmtId="0" fontId="7" fillId="3" borderId="6" xfId="2" applyNumberFormat="1" applyFont="1" applyFill="1" applyBorder="1" applyAlignment="1">
      <alignment horizontal="right"/>
    </xf>
    <xf numFmtId="0" fontId="48" fillId="3" borderId="0" xfId="2" applyNumberFormat="1" applyFont="1" applyFill="1" applyBorder="1" applyAlignment="1">
      <alignment horizontal="right"/>
    </xf>
    <xf numFmtId="0" fontId="23" fillId="3" borderId="6" xfId="2" applyNumberFormat="1" applyFont="1" applyFill="1" applyBorder="1" applyAlignment="1"/>
    <xf numFmtId="0" fontId="7" fillId="3" borderId="1" xfId="2" applyNumberFormat="1" applyFont="1" applyFill="1" applyBorder="1" applyAlignment="1">
      <alignment horizontal="right"/>
    </xf>
    <xf numFmtId="0" fontId="11" fillId="3" borderId="16" xfId="2" applyNumberFormat="1" applyFont="1" applyFill="1" applyBorder="1" applyAlignment="1">
      <alignment horizontal="right"/>
    </xf>
    <xf numFmtId="3" fontId="11" fillId="4" borderId="70" xfId="2" applyNumberFormat="1" applyFont="1" applyFill="1" applyBorder="1" applyAlignment="1"/>
    <xf numFmtId="3" fontId="27" fillId="4" borderId="70" xfId="2" applyNumberFormat="1" applyFont="1" applyFill="1" applyBorder="1" applyAlignment="1"/>
    <xf numFmtId="3" fontId="11" fillId="4" borderId="50" xfId="2" applyNumberFormat="1" applyFont="1" applyFill="1" applyBorder="1" applyAlignment="1"/>
    <xf numFmtId="164" fontId="11" fillId="4" borderId="70" xfId="2" applyNumberFormat="1" applyFont="1" applyFill="1" applyBorder="1" applyAlignment="1"/>
    <xf numFmtId="164" fontId="11" fillId="4" borderId="17" xfId="2" applyNumberFormat="1" applyFont="1" applyFill="1" applyBorder="1" applyAlignment="1"/>
    <xf numFmtId="0" fontId="27" fillId="3" borderId="46" xfId="2" applyNumberFormat="1" applyFont="1" applyFill="1" applyBorder="1" applyAlignment="1">
      <alignment horizontal="center" wrapText="1"/>
    </xf>
    <xf numFmtId="0" fontId="26" fillId="3" borderId="12" xfId="2" applyNumberFormat="1" applyFont="1" applyFill="1" applyBorder="1" applyAlignment="1"/>
    <xf numFmtId="0" fontId="28" fillId="3" borderId="35" xfId="2" applyNumberFormat="1" applyFont="1" applyFill="1" applyBorder="1" applyAlignment="1">
      <alignment horizontal="center"/>
    </xf>
    <xf numFmtId="0" fontId="28" fillId="3" borderId="47" xfId="2" applyNumberFormat="1" applyFont="1" applyFill="1" applyBorder="1" applyAlignment="1">
      <alignment horizontal="center"/>
    </xf>
    <xf numFmtId="0" fontId="28" fillId="3" borderId="8" xfId="2" applyNumberFormat="1" applyFont="1" applyFill="1" applyBorder="1" applyAlignment="1"/>
    <xf numFmtId="0" fontId="23" fillId="3" borderId="54" xfId="2" applyNumberFormat="1" applyFont="1" applyFill="1" applyBorder="1" applyAlignment="1">
      <alignment horizontal="right"/>
    </xf>
    <xf numFmtId="0" fontId="23" fillId="3" borderId="15" xfId="2" applyNumberFormat="1" applyFont="1" applyFill="1" applyBorder="1" applyAlignment="1">
      <alignment horizontal="right"/>
    </xf>
    <xf numFmtId="0" fontId="23" fillId="3" borderId="53" xfId="2" applyNumberFormat="1" applyFont="1" applyFill="1" applyBorder="1" applyAlignment="1">
      <alignment horizontal="right"/>
    </xf>
    <xf numFmtId="0" fontId="11" fillId="3" borderId="53" xfId="2" applyNumberFormat="1" applyFont="1" applyFill="1" applyBorder="1" applyAlignment="1">
      <alignment horizontal="right"/>
    </xf>
    <xf numFmtId="3" fontId="27" fillId="4" borderId="9" xfId="2" applyNumberFormat="1" applyFont="1" applyFill="1" applyBorder="1" applyAlignment="1"/>
    <xf numFmtId="165" fontId="27" fillId="4" borderId="9" xfId="2" applyNumberFormat="1" applyFont="1" applyFill="1" applyBorder="1" applyAlignment="1"/>
    <xf numFmtId="0" fontId="11" fillId="3" borderId="0" xfId="2" applyNumberFormat="1" applyFont="1" applyFill="1" applyBorder="1" applyAlignment="1">
      <alignment horizontal="right"/>
    </xf>
    <xf numFmtId="0" fontId="27" fillId="3" borderId="22" xfId="2" applyNumberFormat="1" applyFont="1" applyFill="1" applyBorder="1" applyAlignment="1">
      <alignment horizontal="right"/>
    </xf>
    <xf numFmtId="0" fontId="27" fillId="3" borderId="33" xfId="2" applyNumberFormat="1" applyFont="1" applyFill="1" applyBorder="1" applyAlignment="1"/>
    <xf numFmtId="0" fontId="0" fillId="3" borderId="52" xfId="2" applyNumberFormat="1" applyFont="1" applyFill="1" applyBorder="1" applyAlignment="1"/>
    <xf numFmtId="0" fontId="27" fillId="3" borderId="0" xfId="2" applyNumberFormat="1" applyFont="1" applyFill="1" applyBorder="1" applyAlignment="1">
      <alignment horizontal="left"/>
    </xf>
    <xf numFmtId="0" fontId="29" fillId="3" borderId="0" xfId="2" applyNumberFormat="1" applyFont="1" applyFill="1" applyBorder="1" applyAlignment="1">
      <alignment horizontal="left"/>
    </xf>
    <xf numFmtId="0" fontId="27" fillId="3" borderId="22" xfId="2" applyNumberFormat="1" applyFont="1" applyFill="1" applyBorder="1" applyAlignment="1"/>
    <xf numFmtId="0" fontId="27" fillId="3" borderId="44" xfId="2" applyNumberFormat="1" applyFont="1" applyFill="1" applyBorder="1" applyAlignment="1"/>
    <xf numFmtId="0" fontId="27" fillId="3" borderId="56" xfId="2" applyNumberFormat="1" applyFont="1" applyFill="1" applyBorder="1" applyAlignment="1"/>
    <xf numFmtId="0" fontId="27" fillId="3" borderId="56" xfId="2" applyNumberFormat="1" applyFont="1" applyFill="1" applyBorder="1" applyAlignment="1">
      <alignment wrapText="1"/>
    </xf>
    <xf numFmtId="0" fontId="27" fillId="3" borderId="50" xfId="2" applyNumberFormat="1" applyFont="1" applyFill="1" applyBorder="1" applyAlignment="1">
      <alignment wrapText="1"/>
    </xf>
    <xf numFmtId="0" fontId="27" fillId="3" borderId="54" xfId="2" applyNumberFormat="1" applyFont="1" applyFill="1" applyBorder="1" applyAlignment="1">
      <alignment horizontal="center"/>
    </xf>
    <xf numFmtId="0" fontId="23" fillId="4" borderId="5" xfId="2" applyNumberFormat="1" applyFont="1" applyFill="1" applyBorder="1" applyAlignment="1">
      <alignment horizontal="center"/>
    </xf>
    <xf numFmtId="0" fontId="27" fillId="3" borderId="0" xfId="2" applyNumberFormat="1" applyFont="1" applyFill="1" applyBorder="1" applyAlignment="1">
      <alignment horizontal="right"/>
    </xf>
    <xf numFmtId="0" fontId="27" fillId="3" borderId="0" xfId="2" applyNumberFormat="1" applyFont="1" applyFill="1" applyBorder="1" applyAlignment="1">
      <alignment horizontal="center" vertical="top" wrapText="1"/>
    </xf>
    <xf numFmtId="0" fontId="27" fillId="3" borderId="0" xfId="2" applyNumberFormat="1" applyFont="1" applyFill="1" applyBorder="1" applyAlignment="1">
      <alignment horizontal="center"/>
    </xf>
    <xf numFmtId="0" fontId="27" fillId="3" borderId="53" xfId="2" applyNumberFormat="1" applyFont="1" applyFill="1" applyBorder="1" applyAlignment="1">
      <alignment horizontal="center"/>
    </xf>
    <xf numFmtId="0" fontId="23" fillId="4" borderId="8" xfId="2" applyNumberFormat="1" applyFont="1" applyFill="1" applyBorder="1" applyAlignment="1">
      <alignment horizontal="center"/>
    </xf>
    <xf numFmtId="2" fontId="7" fillId="3" borderId="7" xfId="2" applyNumberFormat="1" applyFont="1" applyFill="1" applyBorder="1" applyAlignment="1">
      <alignment horizontal="center"/>
    </xf>
    <xf numFmtId="0" fontId="23" fillId="3" borderId="44" xfId="2" applyNumberFormat="1" applyFont="1" applyFill="1" applyBorder="1" applyAlignment="1">
      <alignment horizontal="right"/>
    </xf>
    <xf numFmtId="0" fontId="7" fillId="3" borderId="44" xfId="2" applyNumberFormat="1" applyFont="1" applyFill="1" applyBorder="1" applyAlignment="1">
      <alignment horizontal="right"/>
    </xf>
    <xf numFmtId="0" fontId="0" fillId="3" borderId="57" xfId="2" applyNumberFormat="1" applyFont="1" applyFill="1" applyBorder="1" applyAlignment="1">
      <alignment horizontal="right"/>
    </xf>
    <xf numFmtId="0" fontId="24" fillId="11" borderId="0" xfId="2" applyNumberFormat="1" applyFont="1" applyFill="1" applyBorder="1" applyAlignment="1"/>
    <xf numFmtId="0" fontId="35" fillId="11" borderId="0" xfId="2" applyNumberFormat="1" applyFont="1" applyFill="1" applyBorder="1" applyAlignment="1"/>
    <xf numFmtId="0" fontId="24" fillId="22" borderId="0" xfId="2" applyNumberFormat="1" applyFont="1" applyFill="1" applyBorder="1" applyAlignment="1"/>
    <xf numFmtId="0" fontId="24" fillId="17" borderId="0" xfId="2" applyNumberFormat="1" applyFont="1" applyFill="1" applyBorder="1" applyAlignment="1"/>
    <xf numFmtId="0" fontId="23" fillId="13" borderId="0" xfId="2" applyNumberFormat="1" applyFont="1" applyFill="1" applyBorder="1" applyAlignment="1">
      <alignment horizontal="left"/>
    </xf>
    <xf numFmtId="0" fontId="23" fillId="13" borderId="0" xfId="2" applyNumberFormat="1" applyFont="1" applyFill="1" applyBorder="1" applyAlignment="1">
      <alignment horizontal="right"/>
    </xf>
    <xf numFmtId="0" fontId="23" fillId="15" borderId="0" xfId="2" applyNumberFormat="1" applyFont="1" applyFill="1" applyBorder="1" applyAlignment="1"/>
    <xf numFmtId="0" fontId="0" fillId="11" borderId="0" xfId="2" applyNumberFormat="1" applyFont="1" applyFill="1" applyBorder="1" applyAlignment="1"/>
    <xf numFmtId="0" fontId="31" fillId="16" borderId="0" xfId="2" applyNumberFormat="1" applyFont="1" applyFill="1" applyBorder="1" applyAlignment="1"/>
    <xf numFmtId="0" fontId="23" fillId="16" borderId="0" xfId="2" applyNumberFormat="1" applyFont="1" applyFill="1" applyBorder="1" applyAlignment="1"/>
    <xf numFmtId="0" fontId="23" fillId="11" borderId="0" xfId="2" applyNumberFormat="1" applyFont="1" applyFill="1" applyBorder="1" applyAlignment="1"/>
    <xf numFmtId="0" fontId="23" fillId="11" borderId="7" xfId="2" applyNumberFormat="1" applyFont="1" applyFill="1" applyBorder="1" applyAlignment="1"/>
    <xf numFmtId="0" fontId="31" fillId="18" borderId="0" xfId="2" applyNumberFormat="1" applyFont="1" applyFill="1" applyBorder="1" applyAlignment="1"/>
    <xf numFmtId="0" fontId="31" fillId="19" borderId="0" xfId="2" applyNumberFormat="1" applyFont="1" applyFill="1" applyBorder="1" applyAlignment="1"/>
    <xf numFmtId="0" fontId="7" fillId="14" borderId="0" xfId="2" applyNumberFormat="1" applyFont="1" applyFill="1" applyBorder="1" applyAlignment="1"/>
    <xf numFmtId="0" fontId="27" fillId="3" borderId="30" xfId="2" applyNumberFormat="1" applyFont="1" applyFill="1" applyBorder="1" applyAlignment="1"/>
    <xf numFmtId="0" fontId="27" fillId="3" borderId="22" xfId="2" applyNumberFormat="1" applyFont="1" applyFill="1" applyBorder="1" applyAlignment="1">
      <alignment vertical="top"/>
    </xf>
    <xf numFmtId="0" fontId="27" fillId="3" borderId="17" xfId="2" applyNumberFormat="1" applyFont="1" applyFill="1" applyBorder="1" applyAlignment="1">
      <alignment horizontal="center" vertical="top" wrapText="1"/>
    </xf>
    <xf numFmtId="0" fontId="27" fillId="3" borderId="50" xfId="2" applyNumberFormat="1" applyFont="1" applyFill="1" applyBorder="1" applyAlignment="1">
      <alignment horizontal="center" vertical="top" wrapText="1"/>
    </xf>
    <xf numFmtId="0" fontId="27" fillId="3" borderId="37" xfId="2" applyNumberFormat="1" applyFont="1" applyFill="1" applyBorder="1" applyAlignment="1">
      <alignment horizontal="center" vertical="top" wrapText="1"/>
    </xf>
    <xf numFmtId="0" fontId="27" fillId="3" borderId="70" xfId="2" applyNumberFormat="1" applyFont="1" applyFill="1" applyBorder="1" applyAlignment="1">
      <alignment horizontal="center" vertical="top" wrapText="1"/>
    </xf>
    <xf numFmtId="0" fontId="11" fillId="3" borderId="17" xfId="2" applyNumberFormat="1" applyFont="1" applyFill="1" applyBorder="1" applyAlignment="1">
      <alignment horizontal="center" vertical="top" wrapText="1"/>
    </xf>
    <xf numFmtId="0" fontId="27" fillId="3" borderId="10" xfId="2" applyNumberFormat="1" applyFont="1" applyFill="1" applyBorder="1" applyAlignment="1">
      <alignment horizontal="center" vertical="top" wrapText="1"/>
    </xf>
    <xf numFmtId="0" fontId="27" fillId="3" borderId="9" xfId="2" applyNumberFormat="1" applyFont="1" applyFill="1" applyBorder="1" applyAlignment="1">
      <alignment horizontal="center" vertical="top" wrapText="1"/>
    </xf>
    <xf numFmtId="0" fontId="11" fillId="3" borderId="9" xfId="2" applyNumberFormat="1" applyFont="1" applyFill="1" applyBorder="1" applyAlignment="1">
      <alignment horizontal="center" vertical="top" wrapText="1"/>
    </xf>
    <xf numFmtId="0" fontId="27" fillId="3" borderId="49" xfId="2" applyNumberFormat="1" applyFont="1" applyFill="1" applyBorder="1" applyAlignment="1">
      <alignment horizontal="center" vertical="top" wrapText="1"/>
    </xf>
    <xf numFmtId="0" fontId="27" fillId="3" borderId="53" xfId="2" applyNumberFormat="1" applyFont="1" applyFill="1" applyBorder="1" applyAlignment="1"/>
    <xf numFmtId="0" fontId="27" fillId="3" borderId="9" xfId="2" applyNumberFormat="1" applyFont="1" applyFill="1" applyBorder="1" applyAlignment="1">
      <alignment horizontal="center"/>
    </xf>
    <xf numFmtId="0" fontId="27" fillId="3" borderId="49" xfId="2" applyNumberFormat="1" applyFont="1" applyFill="1" applyBorder="1" applyAlignment="1">
      <alignment horizontal="center"/>
    </xf>
    <xf numFmtId="0" fontId="27" fillId="3" borderId="4" xfId="2" applyNumberFormat="1" applyFont="1" applyFill="1" applyBorder="1" applyAlignment="1">
      <alignment horizontal="center"/>
    </xf>
    <xf numFmtId="0" fontId="27" fillId="3" borderId="10" xfId="2" applyNumberFormat="1" applyFont="1" applyFill="1" applyBorder="1" applyAlignment="1">
      <alignment horizontal="center"/>
    </xf>
    <xf numFmtId="0" fontId="27" fillId="3" borderId="16" xfId="2" applyNumberFormat="1" applyFont="1" applyFill="1" applyBorder="1" applyAlignment="1">
      <alignment horizontal="center"/>
    </xf>
    <xf numFmtId="0" fontId="27" fillId="3" borderId="10" xfId="2" applyNumberFormat="1" applyFont="1" applyFill="1" applyBorder="1" applyAlignment="1">
      <alignment horizontal="center" vertical="top"/>
    </xf>
    <xf numFmtId="0" fontId="27" fillId="3" borderId="2" xfId="2" applyNumberFormat="1" applyFont="1" applyFill="1" applyBorder="1" applyAlignment="1">
      <alignment horizontal="center" vertical="top"/>
    </xf>
    <xf numFmtId="0" fontId="27" fillId="3" borderId="9" xfId="2" applyNumberFormat="1" applyFont="1" applyFill="1" applyBorder="1" applyAlignment="1">
      <alignment horizontal="center" vertical="top"/>
    </xf>
    <xf numFmtId="0" fontId="27" fillId="3" borderId="49" xfId="2" applyNumberFormat="1" applyFont="1" applyFill="1" applyBorder="1" applyAlignment="1">
      <alignment horizontal="center" vertical="top"/>
    </xf>
    <xf numFmtId="0" fontId="27" fillId="3" borderId="70" xfId="2" applyNumberFormat="1" applyFont="1" applyFill="1" applyBorder="1" applyAlignment="1">
      <alignment horizontal="center"/>
    </xf>
    <xf numFmtId="0" fontId="27" fillId="3" borderId="17" xfId="2" applyNumberFormat="1" applyFont="1" applyFill="1" applyBorder="1" applyAlignment="1">
      <alignment horizontal="center"/>
    </xf>
    <xf numFmtId="0" fontId="27" fillId="3" borderId="50" xfId="2" applyNumberFormat="1" applyFont="1" applyFill="1" applyBorder="1" applyAlignment="1">
      <alignment horizontal="center"/>
    </xf>
    <xf numFmtId="3" fontId="27" fillId="7" borderId="17" xfId="2" applyNumberFormat="1" applyFont="1" applyFill="1" applyBorder="1" applyAlignment="1"/>
    <xf numFmtId="3" fontId="27" fillId="7" borderId="50" xfId="2" applyNumberFormat="1" applyFont="1" applyFill="1" applyBorder="1" applyAlignment="1"/>
    <xf numFmtId="3" fontId="27" fillId="7" borderId="70" xfId="2" applyNumberFormat="1" applyFont="1" applyFill="1" applyBorder="1" applyAlignment="1"/>
    <xf numFmtId="3" fontId="27" fillId="7" borderId="37" xfId="2" applyNumberFormat="1" applyFont="1" applyFill="1" applyBorder="1" applyAlignment="1"/>
    <xf numFmtId="3" fontId="27" fillId="7" borderId="17" xfId="2" applyNumberFormat="1" applyFont="1" applyFill="1" applyBorder="1" applyAlignment="1">
      <alignment horizontal="center"/>
    </xf>
    <xf numFmtId="3" fontId="27" fillId="7" borderId="9" xfId="2" applyNumberFormat="1" applyFont="1" applyFill="1" applyBorder="1" applyAlignment="1"/>
    <xf numFmtId="3" fontId="27" fillId="4" borderId="17" xfId="2" applyNumberFormat="1" applyFont="1" applyFill="1" applyBorder="1" applyAlignment="1"/>
    <xf numFmtId="3" fontId="27" fillId="4" borderId="50" xfId="2" applyNumberFormat="1" applyFont="1" applyFill="1" applyBorder="1" applyAlignment="1"/>
    <xf numFmtId="3" fontId="23" fillId="4" borderId="17" xfId="2" applyNumberFormat="1" applyFont="1" applyFill="1" applyBorder="1" applyAlignment="1"/>
    <xf numFmtId="0" fontId="23" fillId="3" borderId="30" xfId="2" applyNumberFormat="1" applyFont="1" applyFill="1" applyBorder="1" applyAlignment="1"/>
    <xf numFmtId="0" fontId="23" fillId="4" borderId="34" xfId="2" applyNumberFormat="1" applyFont="1" applyFill="1" applyBorder="1" applyAlignment="1"/>
    <xf numFmtId="0" fontId="23" fillId="7" borderId="57" xfId="2" applyNumberFormat="1" applyFont="1" applyFill="1" applyBorder="1" applyAlignment="1"/>
    <xf numFmtId="0" fontId="23" fillId="7" borderId="34" xfId="2" applyNumberFormat="1" applyFont="1" applyFill="1" applyBorder="1" applyAlignment="1"/>
    <xf numFmtId="0" fontId="23" fillId="7" borderId="35" xfId="2" applyNumberFormat="1" applyFont="1" applyFill="1" applyBorder="1" applyAlignment="1"/>
    <xf numFmtId="0" fontId="23" fillId="7" borderId="56" xfId="2" applyNumberFormat="1" applyFont="1" applyFill="1" applyBorder="1" applyAlignment="1"/>
    <xf numFmtId="1" fontId="23" fillId="7" borderId="8" xfId="2" applyNumberFormat="1" applyFont="1" applyFill="1" applyBorder="1" applyAlignment="1"/>
    <xf numFmtId="0" fontId="23" fillId="7" borderId="40" xfId="2" applyNumberFormat="1" applyFont="1" applyFill="1" applyBorder="1" applyAlignment="1"/>
    <xf numFmtId="1" fontId="23" fillId="7" borderId="56" xfId="2" applyNumberFormat="1" applyFont="1" applyFill="1" applyBorder="1" applyAlignment="1"/>
    <xf numFmtId="0" fontId="27" fillId="3" borderId="6" xfId="2" applyNumberFormat="1" applyFont="1" applyFill="1" applyBorder="1" applyAlignment="1"/>
    <xf numFmtId="0" fontId="27" fillId="7" borderId="56" xfId="2" applyNumberFormat="1" applyFont="1" applyFill="1" applyBorder="1" applyAlignment="1"/>
    <xf numFmtId="0" fontId="27" fillId="7" borderId="17" xfId="2" applyNumberFormat="1" applyFont="1" applyFill="1" applyBorder="1" applyAlignment="1"/>
    <xf numFmtId="0" fontId="27" fillId="7" borderId="50" xfId="2" applyNumberFormat="1" applyFont="1" applyFill="1" applyBorder="1" applyAlignment="1"/>
    <xf numFmtId="0" fontId="27" fillId="7" borderId="70" xfId="2" applyNumberFormat="1" applyFont="1" applyFill="1" applyBorder="1" applyAlignment="1"/>
    <xf numFmtId="0" fontId="27" fillId="7" borderId="74" xfId="2" applyNumberFormat="1" applyFont="1" applyFill="1" applyBorder="1" applyAlignment="1"/>
    <xf numFmtId="0" fontId="27" fillId="7" borderId="37" xfId="2" applyNumberFormat="1" applyFont="1" applyFill="1" applyBorder="1" applyAlignment="1"/>
    <xf numFmtId="164" fontId="27" fillId="7" borderId="56" xfId="2" applyNumberFormat="1" applyFont="1" applyFill="1" applyBorder="1" applyAlignment="1">
      <alignment horizontal="center"/>
    </xf>
    <xf numFmtId="1" fontId="27" fillId="7" borderId="56" xfId="2" applyNumberFormat="1" applyFont="1" applyFill="1" applyBorder="1" applyAlignment="1"/>
    <xf numFmtId="0" fontId="27" fillId="7" borderId="61" xfId="2" applyNumberFormat="1" applyFont="1" applyFill="1" applyBorder="1" applyAlignment="1"/>
    <xf numFmtId="0" fontId="27" fillId="4" borderId="70" xfId="2" applyNumberFormat="1" applyFont="1" applyFill="1" applyBorder="1" applyAlignment="1"/>
    <xf numFmtId="0" fontId="27" fillId="4" borderId="17" xfId="2" applyNumberFormat="1" applyFont="1" applyFill="1" applyBorder="1" applyAlignment="1"/>
    <xf numFmtId="0" fontId="27" fillId="4" borderId="50" xfId="2" applyNumberFormat="1" applyFont="1" applyFill="1" applyBorder="1" applyAlignment="1"/>
    <xf numFmtId="0" fontId="27" fillId="4" borderId="9" xfId="2" applyNumberFormat="1" applyFont="1" applyFill="1" applyBorder="1" applyAlignment="1"/>
    <xf numFmtId="2" fontId="23" fillId="4" borderId="17" xfId="2" applyNumberFormat="1" applyFont="1" applyFill="1" applyBorder="1" applyAlignment="1"/>
    <xf numFmtId="1" fontId="27" fillId="4" borderId="17" xfId="2" applyNumberFormat="1" applyFont="1" applyFill="1" applyBorder="1" applyAlignment="1"/>
    <xf numFmtId="1" fontId="27" fillId="4" borderId="9" xfId="2" applyNumberFormat="1" applyFont="1" applyFill="1" applyBorder="1" applyAlignment="1"/>
    <xf numFmtId="1" fontId="27" fillId="4" borderId="49" xfId="2" applyNumberFormat="1" applyFont="1" applyFill="1" applyBorder="1" applyAlignment="1"/>
    <xf numFmtId="0" fontId="27" fillId="7" borderId="10" xfId="2" applyNumberFormat="1" applyFont="1" applyFill="1" applyBorder="1" applyAlignment="1"/>
    <xf numFmtId="0" fontId="27" fillId="7" borderId="9" xfId="2" applyNumberFormat="1" applyFont="1" applyFill="1" applyBorder="1" applyAlignment="1"/>
    <xf numFmtId="164" fontId="27" fillId="7" borderId="17" xfId="2" applyNumberFormat="1" applyFont="1" applyFill="1" applyBorder="1" applyAlignment="1">
      <alignment horizontal="center"/>
    </xf>
    <xf numFmtId="1" fontId="27" fillId="7" borderId="17" xfId="2" applyNumberFormat="1" applyFont="1" applyFill="1" applyBorder="1" applyAlignment="1"/>
    <xf numFmtId="2" fontId="27" fillId="4" borderId="17" xfId="2" applyNumberFormat="1" applyFont="1" applyFill="1" applyBorder="1" applyAlignment="1"/>
    <xf numFmtId="0" fontId="23" fillId="5" borderId="13" xfId="4" applyNumberFormat="1" applyFont="1" applyFill="1" applyBorder="1" applyAlignment="1">
      <protection locked="0"/>
    </xf>
    <xf numFmtId="164" fontId="23" fillId="5" borderId="5" xfId="4" applyNumberFormat="1" applyFont="1" applyFill="1" applyBorder="1" applyAlignment="1">
      <alignment horizontal="center"/>
      <protection locked="0"/>
    </xf>
    <xf numFmtId="164" fontId="23" fillId="5" borderId="8" xfId="4" applyNumberFormat="1" applyFont="1" applyFill="1" applyBorder="1" applyAlignment="1">
      <alignment horizontal="center"/>
      <protection locked="0"/>
    </xf>
    <xf numFmtId="0" fontId="7" fillId="5" borderId="13" xfId="4" applyNumberFormat="1" applyFont="1" applyFill="1" applyBorder="1" applyAlignment="1">
      <alignment horizontal="center"/>
      <protection locked="0"/>
    </xf>
    <xf numFmtId="0" fontId="23" fillId="5" borderId="5" xfId="4" applyNumberFormat="1" applyFont="1" applyFill="1" applyBorder="1" applyAlignment="1">
      <protection locked="0"/>
    </xf>
    <xf numFmtId="0" fontId="23" fillId="5" borderId="34" xfId="4" applyNumberFormat="1" applyFont="1" applyFill="1" applyBorder="1" applyAlignment="1">
      <protection locked="0"/>
    </xf>
    <xf numFmtId="0" fontId="23" fillId="5" borderId="57" xfId="4" applyNumberFormat="1" applyFont="1" applyFill="1" applyBorder="1" applyAlignment="1">
      <protection locked="0"/>
    </xf>
    <xf numFmtId="0" fontId="23" fillId="5" borderId="36" xfId="4" applyNumberFormat="1" applyFont="1" applyFill="1" applyBorder="1" applyAlignment="1">
      <protection locked="0"/>
    </xf>
    <xf numFmtId="0" fontId="23" fillId="5" borderId="72" xfId="4" applyNumberFormat="1" applyFont="1" applyFill="1" applyBorder="1" applyAlignment="1">
      <protection locked="0"/>
    </xf>
    <xf numFmtId="0" fontId="23" fillId="5" borderId="75" xfId="4" applyNumberFormat="1" applyFont="1" applyFill="1" applyBorder="1" applyAlignment="1">
      <protection locked="0"/>
    </xf>
    <xf numFmtId="0" fontId="23" fillId="5" borderId="60" xfId="4" applyNumberFormat="1" applyFont="1" applyFill="1" applyBorder="1" applyAlignment="1">
      <protection locked="0"/>
    </xf>
    <xf numFmtId="0" fontId="23" fillId="5" borderId="56" xfId="4" applyNumberFormat="1" applyFont="1" applyFill="1" applyBorder="1" applyAlignment="1">
      <protection locked="0"/>
    </xf>
    <xf numFmtId="0" fontId="23" fillId="5" borderId="44" xfId="4" applyNumberFormat="1" applyFont="1" applyFill="1" applyBorder="1" applyAlignment="1">
      <protection locked="0"/>
    </xf>
    <xf numFmtId="0" fontId="23" fillId="5" borderId="61" xfId="4" applyNumberFormat="1" applyFont="1" applyFill="1" applyBorder="1" applyAlignment="1">
      <protection locked="0"/>
    </xf>
    <xf numFmtId="0" fontId="23" fillId="5" borderId="8" xfId="4" applyNumberFormat="1" applyFont="1" applyFill="1" applyBorder="1" applyAlignment="1">
      <protection locked="0"/>
    </xf>
    <xf numFmtId="0" fontId="23" fillId="5" borderId="35" xfId="4" applyNumberFormat="1" applyFont="1" applyFill="1" applyBorder="1" applyAlignment="1">
      <protection locked="0"/>
    </xf>
    <xf numFmtId="164" fontId="23" fillId="5" borderId="9" xfId="4" applyNumberFormat="1" applyFont="1" applyFill="1" applyBorder="1" applyAlignment="1">
      <protection locked="0"/>
    </xf>
    <xf numFmtId="1" fontId="23" fillId="0" borderId="8" xfId="4" applyNumberFormat="1" applyFont="1" applyFill="1" applyBorder="1" applyAlignment="1">
      <protection locked="0"/>
    </xf>
    <xf numFmtId="2" fontId="23" fillId="5" borderId="8" xfId="4" applyNumberFormat="1" applyFont="1" applyFill="1" applyBorder="1" applyAlignment="1">
      <protection locked="0"/>
    </xf>
    <xf numFmtId="1" fontId="23" fillId="5" borderId="8" xfId="4" applyNumberFormat="1" applyFont="1" applyFill="1" applyBorder="1" applyAlignment="1">
      <protection locked="0"/>
    </xf>
    <xf numFmtId="0" fontId="0" fillId="3" borderId="58" xfId="2" applyNumberFormat="1" applyFont="1" applyFill="1" applyBorder="1" applyAlignment="1">
      <alignment horizontal="left"/>
    </xf>
    <xf numFmtId="164" fontId="23" fillId="4" borderId="46" xfId="2" applyNumberFormat="1" applyFont="1" applyFill="1" applyBorder="1" applyAlignment="1">
      <alignment horizontal="center"/>
    </xf>
    <xf numFmtId="0" fontId="23" fillId="4" borderId="13" xfId="2" applyNumberFormat="1" applyFont="1" applyFill="1" applyBorder="1" applyAlignment="1">
      <alignment horizontal="center"/>
    </xf>
    <xf numFmtId="2" fontId="7" fillId="4" borderId="34" xfId="2" applyNumberFormat="1" applyFont="1" applyFill="1" applyBorder="1" applyAlignment="1">
      <alignment horizontal="center"/>
    </xf>
    <xf numFmtId="0" fontId="23" fillId="4" borderId="36" xfId="2" applyNumberFormat="1" applyFont="1" applyFill="1" applyBorder="1" applyAlignment="1">
      <alignment horizontal="center"/>
    </xf>
    <xf numFmtId="0" fontId="23" fillId="3" borderId="1" xfId="2" applyNumberFormat="1" applyFont="1" applyFill="1" applyBorder="1" applyAlignment="1">
      <alignment horizontal="right"/>
    </xf>
    <xf numFmtId="164" fontId="23" fillId="4" borderId="47" xfId="2" applyNumberFormat="1" applyFont="1" applyFill="1" applyBorder="1" applyAlignment="1">
      <alignment horizontal="center"/>
    </xf>
    <xf numFmtId="0" fontId="27" fillId="3" borderId="35" xfId="2" applyNumberFormat="1" applyFont="1" applyFill="1" applyBorder="1" applyAlignment="1">
      <alignment horizontal="center"/>
    </xf>
    <xf numFmtId="0" fontId="27" fillId="3" borderId="76" xfId="2" applyNumberFormat="1" applyFont="1" applyFill="1" applyBorder="1" applyAlignment="1">
      <alignment horizontal="center"/>
    </xf>
    <xf numFmtId="0" fontId="28" fillId="3" borderId="59" xfId="2" applyNumberFormat="1" applyFont="1" applyFill="1" applyBorder="1" applyAlignment="1">
      <alignment horizontal="center"/>
    </xf>
    <xf numFmtId="1" fontId="23" fillId="4" borderId="46" xfId="2" applyNumberFormat="1" applyFont="1" applyFill="1" applyBorder="1" applyAlignment="1">
      <alignment horizontal="center"/>
    </xf>
    <xf numFmtId="2" fontId="23" fillId="4" borderId="63" xfId="2" applyNumberFormat="1" applyFont="1" applyFill="1" applyBorder="1" applyAlignment="1">
      <alignment horizontal="center"/>
    </xf>
    <xf numFmtId="0" fontId="7" fillId="3" borderId="7" xfId="2" applyNumberFormat="1" applyFont="1" applyFill="1" applyBorder="1" applyAlignment="1">
      <alignment horizontal="right"/>
    </xf>
    <xf numFmtId="1" fontId="23" fillId="4" borderId="57" xfId="2" applyNumberFormat="1" applyFont="1" applyFill="1" applyBorder="1" applyAlignment="1">
      <alignment horizontal="center"/>
    </xf>
    <xf numFmtId="2" fontId="23" fillId="4" borderId="40" xfId="2" applyNumberFormat="1" applyFont="1" applyFill="1" applyBorder="1" applyAlignment="1">
      <alignment horizontal="center"/>
    </xf>
    <xf numFmtId="3" fontId="7" fillId="4" borderId="45" xfId="2" applyNumberFormat="1" applyFont="1" applyFill="1" applyBorder="1" applyAlignment="1">
      <alignment horizontal="center"/>
    </xf>
    <xf numFmtId="2" fontId="23" fillId="4" borderId="14" xfId="2" applyNumberFormat="1" applyFont="1" applyFill="1" applyBorder="1" applyAlignment="1">
      <alignment horizontal="center"/>
    </xf>
    <xf numFmtId="0" fontId="23" fillId="3" borderId="7" xfId="2" applyNumberFormat="1" applyFont="1" applyFill="1" applyBorder="1" applyAlignment="1">
      <alignment horizontal="right"/>
    </xf>
    <xf numFmtId="3" fontId="23" fillId="4" borderId="45" xfId="2" applyNumberFormat="1" applyFont="1" applyFill="1" applyBorder="1" applyAlignment="1">
      <alignment horizontal="center"/>
    </xf>
    <xf numFmtId="0" fontId="0" fillId="3" borderId="1" xfId="2" applyNumberFormat="1" applyFont="1" applyFill="1" applyBorder="1" applyAlignment="1"/>
    <xf numFmtId="0" fontId="23" fillId="3" borderId="32" xfId="2" applyNumberFormat="1" applyFont="1" applyFill="1" applyBorder="1" applyAlignment="1">
      <alignment horizontal="right"/>
    </xf>
    <xf numFmtId="3" fontId="23" fillId="4" borderId="47" xfId="2" applyNumberFormat="1" applyFont="1" applyFill="1" applyBorder="1" applyAlignment="1">
      <alignment horizontal="center"/>
    </xf>
    <xf numFmtId="2" fontId="23" fillId="4" borderId="35" xfId="2" applyNumberFormat="1" applyFont="1" applyFill="1" applyBorder="1" applyAlignment="1">
      <alignment horizontal="center"/>
    </xf>
    <xf numFmtId="0" fontId="28" fillId="3" borderId="76" xfId="2" applyNumberFormat="1" applyFont="1" applyFill="1" applyBorder="1" applyAlignment="1">
      <alignment horizontal="center"/>
    </xf>
    <xf numFmtId="0" fontId="28" fillId="3" borderId="36" xfId="2" applyNumberFormat="1" applyFont="1" applyFill="1" applyBorder="1" applyAlignment="1">
      <alignment horizontal="center"/>
    </xf>
    <xf numFmtId="1" fontId="7" fillId="4" borderId="11" xfId="2" applyNumberFormat="1" applyFont="1" applyFill="1" applyBorder="1" applyAlignment="1">
      <alignment horizontal="center"/>
    </xf>
    <xf numFmtId="164" fontId="23" fillId="4" borderId="11" xfId="2" applyNumberFormat="1" applyFont="1" applyFill="1" applyBorder="1" applyAlignment="1">
      <alignment horizontal="center"/>
    </xf>
    <xf numFmtId="164" fontId="23" fillId="4" borderId="63" xfId="2" applyNumberFormat="1" applyFont="1" applyFill="1" applyBorder="1" applyAlignment="1">
      <alignment horizontal="center"/>
    </xf>
    <xf numFmtId="1" fontId="7" fillId="4" borderId="20" xfId="2" applyNumberFormat="1" applyFont="1" applyFill="1" applyBorder="1" applyAlignment="1">
      <alignment horizontal="center"/>
    </xf>
    <xf numFmtId="164" fontId="23" fillId="4" borderId="20" xfId="2" applyNumberFormat="1" applyFont="1" applyFill="1" applyBorder="1" applyAlignment="1">
      <alignment horizontal="center"/>
    </xf>
    <xf numFmtId="164" fontId="23" fillId="4" borderId="14" xfId="2" applyNumberFormat="1" applyFont="1" applyFill="1" applyBorder="1" applyAlignment="1">
      <alignment horizontal="center"/>
    </xf>
    <xf numFmtId="0" fontId="23" fillId="3" borderId="4" xfId="2" applyNumberFormat="1" applyFont="1" applyFill="1" applyBorder="1" applyAlignment="1">
      <alignment horizontal="right"/>
    </xf>
    <xf numFmtId="1" fontId="7" fillId="4" borderId="12" xfId="2" applyNumberFormat="1" applyFont="1" applyFill="1" applyBorder="1" applyAlignment="1">
      <alignment horizontal="center"/>
    </xf>
    <xf numFmtId="164" fontId="23" fillId="4" borderId="12" xfId="2" applyNumberFormat="1" applyFont="1" applyFill="1" applyBorder="1" applyAlignment="1">
      <alignment horizontal="center"/>
    </xf>
    <xf numFmtId="164" fontId="23" fillId="4" borderId="35" xfId="2" applyNumberFormat="1" applyFont="1" applyFill="1" applyBorder="1" applyAlignment="1">
      <alignment horizontal="center"/>
    </xf>
    <xf numFmtId="1" fontId="23" fillId="4" borderId="11" xfId="2" applyNumberFormat="1" applyFont="1" applyFill="1" applyBorder="1" applyAlignment="1">
      <alignment horizontal="center"/>
    </xf>
    <xf numFmtId="2" fontId="23" fillId="4" borderId="66" xfId="2" applyNumberFormat="1" applyFont="1" applyFill="1" applyBorder="1" applyAlignment="1">
      <alignment horizontal="center"/>
    </xf>
    <xf numFmtId="1" fontId="23" fillId="4" borderId="20" xfId="2" applyNumberFormat="1" applyFont="1" applyFill="1" applyBorder="1" applyAlignment="1">
      <alignment horizontal="center"/>
    </xf>
    <xf numFmtId="0" fontId="23" fillId="3" borderId="2" xfId="2" applyNumberFormat="1" applyFont="1" applyFill="1" applyBorder="1" applyAlignment="1">
      <alignment horizontal="right"/>
    </xf>
    <xf numFmtId="1" fontId="23" fillId="4" borderId="12" xfId="2" applyNumberFormat="1" applyFont="1" applyFill="1" applyBorder="1" applyAlignment="1">
      <alignment horizontal="center"/>
    </xf>
    <xf numFmtId="0" fontId="23" fillId="5" borderId="8" xfId="4" applyNumberFormat="1" applyFont="1" applyFill="1" applyBorder="1" applyAlignment="1">
      <alignment horizontal="center"/>
      <protection locked="0"/>
    </xf>
    <xf numFmtId="164" fontId="23" fillId="5" borderId="13" xfId="4" applyNumberFormat="1" applyFont="1" applyFill="1" applyBorder="1" applyAlignment="1">
      <alignment horizontal="center"/>
      <protection locked="0"/>
    </xf>
    <xf numFmtId="164" fontId="23" fillId="5" borderId="36" xfId="4" applyNumberFormat="1" applyFont="1" applyFill="1" applyBorder="1" applyAlignment="1">
      <alignment horizontal="center"/>
      <protection locked="0"/>
    </xf>
    <xf numFmtId="0" fontId="23" fillId="5" borderId="5" xfId="4" applyNumberFormat="1" applyFont="1" applyFill="1" applyBorder="1" applyAlignment="1">
      <alignment horizontal="center"/>
      <protection locked="0"/>
    </xf>
    <xf numFmtId="0" fontId="23" fillId="5" borderId="13" xfId="4" applyNumberFormat="1" applyFont="1" applyFill="1" applyBorder="1" applyAlignment="1">
      <alignment horizontal="center"/>
      <protection locked="0"/>
    </xf>
    <xf numFmtId="0" fontId="23" fillId="5" borderId="34" xfId="4" applyNumberFormat="1" applyFont="1" applyFill="1" applyBorder="1" applyAlignment="1">
      <alignment horizontal="center"/>
      <protection locked="0"/>
    </xf>
    <xf numFmtId="0" fontId="23" fillId="5" borderId="36" xfId="4" applyNumberFormat="1" applyFont="1" applyFill="1" applyBorder="1" applyAlignment="1">
      <alignment horizontal="center"/>
      <protection locked="0"/>
    </xf>
    <xf numFmtId="0" fontId="23"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65" fillId="3" borderId="0" xfId="2" applyNumberFormat="1" applyFont="1" applyFill="1" applyBorder="1" applyAlignment="1"/>
    <xf numFmtId="164" fontId="0" fillId="3" borderId="0" xfId="2" applyNumberFormat="1" applyFont="1" applyFill="1" applyBorder="1" applyAlignment="1"/>
    <xf numFmtId="0" fontId="0" fillId="3" borderId="59" xfId="2" applyNumberFormat="1" applyFont="1" applyFill="1" applyBorder="1" applyAlignment="1"/>
    <xf numFmtId="0" fontId="27" fillId="3" borderId="71" xfId="2" applyNumberFormat="1" applyFont="1" applyFill="1" applyBorder="1" applyAlignment="1">
      <alignment horizontal="center" wrapText="1"/>
    </xf>
    <xf numFmtId="0" fontId="0" fillId="3" borderId="0" xfId="2" applyNumberFormat="1" applyFont="1" applyFill="1" applyBorder="1" applyAlignment="1">
      <alignment horizontal="center"/>
    </xf>
    <xf numFmtId="0" fontId="0" fillId="3" borderId="55" xfId="2" applyNumberFormat="1" applyFont="1" applyFill="1" applyBorder="1" applyAlignment="1"/>
    <xf numFmtId="0" fontId="27" fillId="3" borderId="73" xfId="2" applyNumberFormat="1" applyFont="1" applyFill="1" applyBorder="1" applyAlignment="1">
      <alignment horizontal="center"/>
    </xf>
    <xf numFmtId="0" fontId="45" fillId="3" borderId="71" xfId="2" applyNumberFormat="1" applyFont="1" applyFill="1" applyBorder="1" applyAlignment="1">
      <alignment horizontal="right"/>
    </xf>
    <xf numFmtId="164" fontId="23" fillId="3" borderId="0" xfId="2" applyNumberFormat="1" applyFont="1" applyFill="1" applyBorder="1" applyAlignment="1"/>
    <xf numFmtId="0" fontId="23" fillId="11" borderId="25" xfId="2" applyNumberFormat="1" applyFont="1" applyFill="1" applyBorder="1" applyAlignment="1">
      <alignment horizontal="right"/>
    </xf>
    <xf numFmtId="0" fontId="23" fillId="11" borderId="42" xfId="2" applyNumberFormat="1" applyFont="1" applyFill="1" applyBorder="1" applyAlignment="1">
      <alignment horizontal="right"/>
    </xf>
    <xf numFmtId="0" fontId="23" fillId="11" borderId="43" xfId="2" applyNumberFormat="1" applyFont="1" applyFill="1" applyBorder="1" applyAlignment="1">
      <alignment horizontal="right"/>
    </xf>
    <xf numFmtId="0" fontId="23" fillId="12" borderId="25" xfId="2" applyNumberFormat="1" applyFont="1" applyFill="1" applyBorder="1" applyAlignment="1">
      <alignment horizontal="right"/>
    </xf>
    <xf numFmtId="0" fontId="23" fillId="12" borderId="42" xfId="2" applyNumberFormat="1" applyFont="1" applyFill="1" applyBorder="1" applyAlignment="1">
      <alignment horizontal="right"/>
    </xf>
    <xf numFmtId="0" fontId="23" fillId="12" borderId="43" xfId="2" applyNumberFormat="1" applyFont="1" applyFill="1" applyBorder="1" applyAlignment="1">
      <alignment horizontal="right"/>
    </xf>
    <xf numFmtId="164" fontId="23" fillId="3" borderId="0" xfId="2" applyNumberFormat="1" applyFont="1" applyFill="1" applyBorder="1" applyAlignment="1">
      <alignment horizontal="right"/>
    </xf>
    <xf numFmtId="0" fontId="23" fillId="13" borderId="25" xfId="2" applyNumberFormat="1" applyFont="1" applyFill="1" applyBorder="1" applyAlignment="1">
      <alignment horizontal="right"/>
    </xf>
    <xf numFmtId="0" fontId="23" fillId="13" borderId="42" xfId="2" applyNumberFormat="1" applyFont="1" applyFill="1" applyBorder="1" applyAlignment="1">
      <alignment horizontal="right"/>
    </xf>
    <xf numFmtId="0" fontId="23" fillId="13" borderId="43" xfId="2" applyNumberFormat="1" applyFont="1" applyFill="1" applyBorder="1" applyAlignment="1">
      <alignment horizontal="right"/>
    </xf>
    <xf numFmtId="0" fontId="23" fillId="14" borderId="39" xfId="2" applyNumberFormat="1" applyFont="1" applyFill="1" applyBorder="1" applyAlignment="1">
      <alignment horizontal="right"/>
    </xf>
    <xf numFmtId="0" fontId="23" fillId="14" borderId="41" xfId="2" applyNumberFormat="1" applyFont="1" applyFill="1" applyBorder="1" applyAlignment="1">
      <alignment horizontal="right"/>
    </xf>
    <xf numFmtId="0" fontId="23" fillId="14" borderId="38" xfId="2" applyNumberFormat="1" applyFont="1" applyFill="1" applyBorder="1" applyAlignment="1">
      <alignment horizontal="right"/>
    </xf>
    <xf numFmtId="0" fontId="23" fillId="15" borderId="39" xfId="2" applyNumberFormat="1" applyFont="1" applyFill="1" applyBorder="1" applyAlignment="1">
      <alignment horizontal="right"/>
    </xf>
    <xf numFmtId="0" fontId="23" fillId="15" borderId="41" xfId="2" applyNumberFormat="1" applyFont="1" applyFill="1" applyBorder="1" applyAlignment="1">
      <alignment horizontal="right"/>
    </xf>
    <xf numFmtId="0" fontId="27" fillId="3" borderId="22" xfId="2" applyNumberFormat="1" applyFont="1" applyFill="1" applyBorder="1" applyAlignment="1">
      <alignment horizontal="center" wrapText="1"/>
    </xf>
    <xf numFmtId="0" fontId="27" fillId="3" borderId="17" xfId="2" applyNumberFormat="1" applyFont="1" applyFill="1" applyBorder="1" applyAlignment="1">
      <alignment horizontal="center" wrapText="1"/>
    </xf>
    <xf numFmtId="0" fontId="32" fillId="3" borderId="2" xfId="2" applyNumberFormat="1" applyFont="1" applyFill="1" applyBorder="1" applyAlignment="1">
      <alignment wrapText="1"/>
    </xf>
    <xf numFmtId="0" fontId="23" fillId="5" borderId="21" xfId="4" applyNumberFormat="1" applyFont="1" applyFill="1" applyBorder="1" applyAlignment="1">
      <protection locked="0"/>
    </xf>
    <xf numFmtId="0" fontId="23" fillId="5" borderId="34" xfId="4" applyNumberFormat="1" applyFont="1" applyFill="1" applyBorder="1" applyAlignment="1">
      <alignment horizontal="left"/>
      <protection locked="0"/>
    </xf>
    <xf numFmtId="0" fontId="23" fillId="5" borderId="39" xfId="4" applyNumberFormat="1" applyFont="1" applyFill="1" applyBorder="1" applyAlignment="1">
      <alignment horizontal="left"/>
      <protection locked="0"/>
    </xf>
    <xf numFmtId="0" fontId="23" fillId="5" borderId="39" xfId="4" applyNumberFormat="1" applyFont="1" applyFill="1" applyBorder="1" applyAlignment="1">
      <alignment horizontal="center"/>
      <protection locked="0"/>
    </xf>
    <xf numFmtId="0" fontId="23" fillId="5" borderId="20" xfId="4" applyNumberFormat="1" applyFont="1" applyFill="1" applyBorder="1" applyAlignment="1">
      <protection locked="0"/>
    </xf>
    <xf numFmtId="0" fontId="23" fillId="5" borderId="13" xfId="4" applyNumberFormat="1" applyFont="1" applyFill="1" applyBorder="1" applyAlignment="1">
      <alignment horizontal="left"/>
      <protection locked="0"/>
    </xf>
    <xf numFmtId="0" fontId="23" fillId="5" borderId="41" xfId="4" applyNumberFormat="1" applyFont="1" applyFill="1" applyBorder="1" applyAlignment="1">
      <alignment horizontal="left"/>
      <protection locked="0"/>
    </xf>
    <xf numFmtId="0" fontId="23" fillId="5" borderId="41" xfId="4" applyNumberFormat="1" applyFont="1" applyFill="1" applyBorder="1" applyAlignment="1">
      <alignment horizontal="center"/>
      <protection locked="0"/>
    </xf>
    <xf numFmtId="0" fontId="23" fillId="5" borderId="12" xfId="4" applyNumberFormat="1" applyFont="1" applyFill="1" applyBorder="1" applyAlignment="1">
      <protection locked="0"/>
    </xf>
    <xf numFmtId="0" fontId="23" fillId="5" borderId="8" xfId="4" applyNumberFormat="1" applyFont="1" applyFill="1" applyBorder="1" applyAlignment="1">
      <alignment horizontal="left"/>
      <protection locked="0"/>
    </xf>
    <xf numFmtId="0" fontId="23" fillId="5" borderId="38" xfId="4" applyNumberFormat="1" applyFont="1" applyFill="1" applyBorder="1" applyAlignment="1">
      <alignment horizontal="left"/>
      <protection locked="0"/>
    </xf>
    <xf numFmtId="0" fontId="23" fillId="5" borderId="38" xfId="4" applyNumberFormat="1" applyFont="1" applyFill="1" applyBorder="1" applyAlignment="1">
      <alignment horizontal="center"/>
      <protection locked="0"/>
    </xf>
    <xf numFmtId="0" fontId="23" fillId="5" borderId="11" xfId="4" applyNumberFormat="1" applyFont="1" applyFill="1" applyBorder="1" applyAlignment="1">
      <protection locked="0"/>
    </xf>
    <xf numFmtId="0" fontId="23" fillId="5" borderId="5" xfId="4" applyNumberFormat="1" applyFont="1" applyFill="1" applyBorder="1" applyAlignment="1">
      <alignment horizontal="left"/>
      <protection locked="0"/>
    </xf>
    <xf numFmtId="164" fontId="7" fillId="4" borderId="79" xfId="2" applyNumberFormat="1" applyFont="1" applyFill="1" applyBorder="1" applyAlignment="1">
      <alignment horizontal="center"/>
    </xf>
    <xf numFmtId="164" fontId="7" fillId="4" borderId="80" xfId="2" applyNumberFormat="1" applyFont="1" applyFill="1" applyBorder="1" applyAlignment="1">
      <alignment horizontal="center"/>
    </xf>
    <xf numFmtId="164" fontId="7" fillId="4" borderId="81" xfId="2" applyNumberFormat="1" applyFont="1" applyFill="1" applyBorder="1" applyAlignment="1">
      <alignment horizontal="center"/>
    </xf>
    <xf numFmtId="164" fontId="7" fillId="4" borderId="82" xfId="2" applyNumberFormat="1" applyFont="1" applyFill="1" applyBorder="1" applyAlignment="1">
      <alignment horizontal="center"/>
    </xf>
    <xf numFmtId="164" fontId="7" fillId="4" borderId="83" xfId="2" applyNumberFormat="1" applyFont="1" applyFill="1" applyBorder="1" applyAlignment="1">
      <alignment horizontal="center"/>
    </xf>
    <xf numFmtId="164" fontId="7" fillId="4" borderId="84" xfId="2" applyNumberFormat="1" applyFont="1" applyFill="1" applyBorder="1" applyAlignment="1">
      <alignment horizontal="center"/>
    </xf>
    <xf numFmtId="164" fontId="7" fillId="4" borderId="85" xfId="2" applyNumberFormat="1" applyFont="1" applyFill="1" applyBorder="1" applyAlignment="1">
      <alignment horizontal="center"/>
    </xf>
    <xf numFmtId="0" fontId="28" fillId="3" borderId="0" xfId="0" applyFont="1" applyFill="1" applyAlignment="1">
      <alignment horizontal="center" vertical="center" wrapText="1"/>
    </xf>
    <xf numFmtId="0" fontId="28" fillId="3" borderId="0" xfId="0" applyFont="1" applyFill="1" applyAlignment="1">
      <alignment horizontal="center" vertical="top" wrapText="1"/>
    </xf>
    <xf numFmtId="0" fontId="49" fillId="4" borderId="45" xfId="2" applyNumberFormat="1" applyFont="1" applyFill="1" applyBorder="1" applyAlignment="1">
      <alignment horizontal="center" vertical="center" wrapText="1"/>
    </xf>
    <xf numFmtId="0" fontId="10" fillId="3" borderId="0" xfId="2" applyNumberFormat="1" applyFont="1" applyFill="1" applyBorder="1" applyAlignment="1">
      <alignment horizontal="left"/>
    </xf>
    <xf numFmtId="0" fontId="10" fillId="3" borderId="0" xfId="2" applyNumberFormat="1" applyFont="1" applyFill="1" applyBorder="1" applyAlignment="1"/>
    <xf numFmtId="0" fontId="30" fillId="3" borderId="77" xfId="0" applyFont="1" applyFill="1" applyBorder="1" applyAlignment="1">
      <alignment wrapText="1"/>
    </xf>
    <xf numFmtId="0" fontId="30" fillId="3" borderId="42" xfId="0" applyFont="1" applyFill="1" applyBorder="1" applyAlignment="1">
      <alignment horizontal="left" wrapText="1"/>
    </xf>
    <xf numFmtId="0" fontId="30" fillId="3" borderId="42" xfId="0" applyFont="1" applyFill="1" applyBorder="1" applyAlignment="1">
      <alignment wrapText="1"/>
    </xf>
    <xf numFmtId="0" fontId="30" fillId="3" borderId="87" xfId="0" applyFont="1" applyFill="1" applyBorder="1" applyAlignment="1">
      <alignment wrapText="1"/>
    </xf>
    <xf numFmtId="0" fontId="30" fillId="3" borderId="77" xfId="0" applyFont="1" applyFill="1" applyBorder="1" applyAlignment="1">
      <alignment horizontal="right" wrapText="1"/>
    </xf>
    <xf numFmtId="0" fontId="30" fillId="3" borderId="87" xfId="0" applyFont="1" applyFill="1" applyBorder="1" applyAlignment="1">
      <alignment horizontal="right" wrapText="1"/>
    </xf>
    <xf numFmtId="0" fontId="30" fillId="3" borderId="0" xfId="0" applyFont="1" applyFill="1" applyAlignment="1">
      <alignment horizontal="center" vertical="top" wrapText="1"/>
    </xf>
    <xf numFmtId="0" fontId="0" fillId="3" borderId="0" xfId="0" applyFill="1"/>
    <xf numFmtId="164" fontId="30" fillId="4" borderId="25" xfId="0" applyNumberFormat="1" applyFont="1" applyFill="1" applyBorder="1" applyAlignment="1">
      <alignment horizontal="center" vertical="center"/>
    </xf>
    <xf numFmtId="164" fontId="30" fillId="4" borderId="27" xfId="0" applyNumberFormat="1" applyFont="1" applyFill="1" applyBorder="1" applyAlignment="1">
      <alignment horizontal="center" vertical="center"/>
    </xf>
    <xf numFmtId="164" fontId="30" fillId="4" borderId="77" xfId="0" applyNumberFormat="1" applyFont="1" applyFill="1" applyBorder="1" applyAlignment="1">
      <alignment horizontal="center" vertical="center"/>
    </xf>
    <xf numFmtId="164" fontId="30" fillId="4" borderId="31" xfId="0" applyNumberFormat="1" applyFont="1" applyFill="1" applyBorder="1" applyAlignment="1">
      <alignment horizontal="center" vertical="center"/>
    </xf>
    <xf numFmtId="164" fontId="27" fillId="4" borderId="16" xfId="0" applyNumberFormat="1" applyFont="1" applyFill="1" applyBorder="1" applyAlignment="1">
      <alignment horizontal="center" vertical="center"/>
    </xf>
    <xf numFmtId="0" fontId="30" fillId="3" borderId="51" xfId="0" applyFont="1" applyFill="1" applyBorder="1" applyAlignment="1">
      <alignment wrapText="1"/>
    </xf>
    <xf numFmtId="0" fontId="23" fillId="3" borderId="25" xfId="0" applyFont="1" applyFill="1" applyBorder="1" applyAlignment="1">
      <alignment horizontal="center" vertical="center"/>
    </xf>
    <xf numFmtId="0" fontId="23" fillId="3" borderId="42"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30" xfId="0" applyFont="1" applyFill="1" applyBorder="1" applyAlignment="1">
      <alignment horizontal="center" vertical="center"/>
    </xf>
    <xf numFmtId="164" fontId="30" fillId="20" borderId="16" xfId="0" applyNumberFormat="1" applyFont="1" applyFill="1" applyBorder="1" applyAlignment="1">
      <alignment horizontal="center" vertical="center"/>
    </xf>
    <xf numFmtId="164" fontId="43" fillId="20" borderId="16" xfId="0" applyNumberFormat="1" applyFont="1" applyFill="1" applyBorder="1" applyAlignment="1">
      <alignment horizontal="left" vertical="center"/>
    </xf>
    <xf numFmtId="0" fontId="28" fillId="3" borderId="33" xfId="0" applyFont="1" applyFill="1" applyBorder="1" applyAlignment="1">
      <alignment wrapText="1"/>
    </xf>
    <xf numFmtId="0" fontId="30" fillId="3" borderId="4" xfId="0" applyFont="1" applyFill="1" applyBorder="1" applyAlignment="1">
      <alignment horizontal="center" vertical="center" wrapText="1"/>
    </xf>
    <xf numFmtId="0" fontId="23" fillId="3" borderId="27"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30" fillId="3" borderId="32" xfId="0" applyFont="1" applyFill="1" applyBorder="1" applyAlignment="1">
      <alignment horizontal="center" vertical="center" wrapText="1"/>
    </xf>
    <xf numFmtId="0" fontId="28" fillId="3" borderId="27" xfId="0" applyFont="1" applyFill="1" applyBorder="1" applyAlignment="1">
      <alignment horizontal="center" vertical="center" wrapText="1"/>
    </xf>
    <xf numFmtId="164" fontId="30" fillId="20" borderId="31" xfId="0" applyNumberFormat="1" applyFont="1" applyFill="1" applyBorder="1" applyAlignment="1">
      <alignment horizontal="center" vertical="center"/>
    </xf>
    <xf numFmtId="164" fontId="43" fillId="20" borderId="33" xfId="0" applyNumberFormat="1" applyFont="1" applyFill="1" applyBorder="1" applyAlignment="1">
      <alignment horizontal="left" vertical="center"/>
    </xf>
    <xf numFmtId="164" fontId="30" fillId="20" borderId="73" xfId="0" applyNumberFormat="1" applyFont="1" applyFill="1" applyBorder="1" applyAlignment="1">
      <alignment horizontal="center" vertical="center"/>
    </xf>
    <xf numFmtId="164" fontId="30" fillId="20" borderId="28" xfId="0" applyNumberFormat="1" applyFont="1" applyFill="1" applyBorder="1" applyAlignment="1">
      <alignment horizontal="center" vertical="center"/>
    </xf>
    <xf numFmtId="164" fontId="30" fillId="4" borderId="28" xfId="0" applyNumberFormat="1" applyFont="1" applyFill="1" applyBorder="1" applyAlignment="1">
      <alignment horizontal="center" vertical="center"/>
    </xf>
    <xf numFmtId="164" fontId="30" fillId="4" borderId="86" xfId="0" applyNumberFormat="1" applyFont="1" applyFill="1" applyBorder="1" applyAlignment="1">
      <alignment horizontal="center" vertical="center"/>
    </xf>
    <xf numFmtId="164" fontId="30" fillId="4" borderId="73" xfId="0" applyNumberFormat="1" applyFont="1" applyFill="1" applyBorder="1" applyAlignment="1">
      <alignment horizontal="center" vertical="center"/>
    </xf>
    <xf numFmtId="164" fontId="30" fillId="20" borderId="86" xfId="0" applyNumberFormat="1" applyFont="1" applyFill="1" applyBorder="1" applyAlignment="1">
      <alignment horizontal="center" vertical="center"/>
    </xf>
    <xf numFmtId="0" fontId="30" fillId="3" borderId="51" xfId="0" applyFont="1" applyFill="1" applyBorder="1" applyAlignment="1">
      <alignment horizontal="right" wrapText="1"/>
    </xf>
    <xf numFmtId="0" fontId="30" fillId="3" borderId="58" xfId="0" applyFont="1" applyFill="1" applyBorder="1" applyAlignment="1">
      <alignment horizontal="right" wrapText="1"/>
    </xf>
    <xf numFmtId="0" fontId="45" fillId="3" borderId="16" xfId="0" applyFont="1" applyFill="1" applyBorder="1" applyAlignment="1">
      <alignment horizontal="center" vertical="center" wrapText="1"/>
    </xf>
    <xf numFmtId="164" fontId="27" fillId="4" borderId="33" xfId="0" applyNumberFormat="1" applyFont="1" applyFill="1" applyBorder="1" applyAlignment="1">
      <alignment horizontal="center" vertical="center"/>
    </xf>
    <xf numFmtId="0" fontId="23" fillId="3" borderId="16" xfId="0" applyFont="1" applyFill="1" applyBorder="1" applyAlignment="1">
      <alignment horizontal="center" vertical="center"/>
    </xf>
    <xf numFmtId="0" fontId="49" fillId="3" borderId="77" xfId="0" applyFont="1" applyFill="1" applyBorder="1" applyAlignment="1">
      <alignment wrapText="1"/>
    </xf>
    <xf numFmtId="0" fontId="49" fillId="3" borderId="51" xfId="0" applyFont="1" applyFill="1" applyBorder="1" applyAlignment="1">
      <alignment wrapText="1"/>
    </xf>
    <xf numFmtId="0" fontId="45" fillId="3" borderId="33" xfId="0" applyFont="1" applyFill="1" applyBorder="1" applyAlignment="1">
      <alignment horizontal="center" vertical="center" wrapText="1"/>
    </xf>
    <xf numFmtId="164" fontId="30" fillId="20" borderId="33" xfId="0" applyNumberFormat="1" applyFont="1" applyFill="1" applyBorder="1" applyAlignment="1">
      <alignment horizontal="center" vertical="center"/>
    </xf>
    <xf numFmtId="0" fontId="30" fillId="3" borderId="51" xfId="0" applyFont="1" applyFill="1" applyBorder="1" applyAlignment="1">
      <alignment horizontal="left" wrapText="1"/>
    </xf>
    <xf numFmtId="0" fontId="23" fillId="3" borderId="73" xfId="0" applyFont="1" applyFill="1" applyBorder="1" applyAlignment="1">
      <alignment horizontal="center" vertical="center"/>
    </xf>
    <xf numFmtId="164" fontId="49" fillId="4" borderId="31" xfId="0" applyNumberFormat="1" applyFont="1" applyFill="1" applyBorder="1" applyAlignment="1">
      <alignment horizontal="center" vertical="center"/>
    </xf>
    <xf numFmtId="0" fontId="49" fillId="3" borderId="58" xfId="0" applyFont="1" applyFill="1" applyBorder="1" applyAlignment="1">
      <alignment wrapText="1"/>
    </xf>
    <xf numFmtId="0" fontId="30" fillId="3" borderId="68" xfId="0" applyFont="1" applyFill="1" applyBorder="1" applyAlignment="1">
      <alignment horizontal="right" wrapText="1"/>
    </xf>
    <xf numFmtId="164" fontId="27" fillId="3" borderId="6" xfId="0" applyNumberFormat="1" applyFont="1" applyFill="1" applyBorder="1" applyAlignment="1">
      <alignment horizontal="center" vertical="center"/>
    </xf>
    <xf numFmtId="164" fontId="27" fillId="3" borderId="73" xfId="0" applyNumberFormat="1" applyFont="1" applyFill="1" applyBorder="1" applyAlignment="1">
      <alignment horizontal="center" vertical="center"/>
    </xf>
    <xf numFmtId="0" fontId="30" fillId="3" borderId="19" xfId="0" applyFont="1" applyFill="1" applyBorder="1" applyAlignment="1">
      <alignment horizontal="right" wrapText="1"/>
    </xf>
    <xf numFmtId="0" fontId="30" fillId="3" borderId="65" xfId="0" applyFont="1" applyFill="1" applyBorder="1" applyAlignment="1">
      <alignment horizontal="right" wrapText="1"/>
    </xf>
    <xf numFmtId="0" fontId="23" fillId="3" borderId="0" xfId="2" applyNumberFormat="1" applyFont="1" applyFill="1" applyBorder="1" applyAlignment="1"/>
    <xf numFmtId="0" fontId="30" fillId="5" borderId="25" xfId="4" applyNumberFormat="1" applyFont="1" applyFill="1" applyBorder="1" applyAlignment="1">
      <alignment horizontal="center"/>
      <protection locked="0"/>
    </xf>
    <xf numFmtId="0" fontId="30" fillId="5" borderId="42" xfId="4" applyNumberFormat="1" applyFont="1" applyFill="1" applyBorder="1" applyAlignment="1">
      <alignment horizontal="center"/>
      <protection locked="0"/>
    </xf>
    <xf numFmtId="0" fontId="30" fillId="5" borderId="43" xfId="4" applyNumberFormat="1" applyFont="1" applyFill="1" applyBorder="1" applyAlignment="1">
      <alignment horizontal="center"/>
      <protection locked="0"/>
    </xf>
    <xf numFmtId="0" fontId="49" fillId="4" borderId="11" xfId="4" applyNumberFormat="1" applyFont="1" applyFill="1" applyBorder="1" applyAlignment="1">
      <alignment horizontal="center"/>
      <protection locked="0"/>
    </xf>
    <xf numFmtId="0" fontId="49" fillId="4" borderId="5" xfId="4" applyNumberFormat="1" applyFont="1" applyFill="1" applyBorder="1" applyAlignment="1">
      <alignment horizontal="center"/>
      <protection locked="0"/>
    </xf>
    <xf numFmtId="0" fontId="49" fillId="4" borderId="63" xfId="4" applyNumberFormat="1" applyFont="1" applyFill="1" applyBorder="1" applyAlignment="1">
      <alignment horizontal="center"/>
      <protection locked="0"/>
    </xf>
    <xf numFmtId="0" fontId="30" fillId="4" borderId="20" xfId="2" applyNumberFormat="1" applyFont="1" applyFill="1" applyBorder="1" applyAlignment="1">
      <alignment horizontal="center"/>
    </xf>
    <xf numFmtId="0" fontId="30" fillId="4" borderId="14" xfId="2" applyNumberFormat="1" applyFont="1" applyFill="1" applyBorder="1" applyAlignment="1">
      <alignment horizontal="center"/>
    </xf>
    <xf numFmtId="2" fontId="49" fillId="4" borderId="12" xfId="2" applyNumberFormat="1" applyFont="1" applyFill="1" applyBorder="1" applyAlignment="1">
      <alignment horizontal="center"/>
    </xf>
    <xf numFmtId="2" fontId="49" fillId="4" borderId="8" xfId="2" applyNumberFormat="1" applyFont="1" applyFill="1" applyBorder="1" applyAlignment="1">
      <alignment horizontal="center"/>
    </xf>
    <xf numFmtId="0" fontId="30" fillId="0" borderId="56" xfId="4" applyNumberFormat="1" applyFont="1" applyFill="1" applyBorder="1" applyAlignment="1">
      <alignment horizontal="center" vertical="center" wrapText="1"/>
      <protection locked="0"/>
    </xf>
    <xf numFmtId="0" fontId="30" fillId="5" borderId="55" xfId="4" applyNumberFormat="1" applyFont="1" applyFill="1" applyBorder="1" applyAlignment="1">
      <alignment horizontal="center"/>
      <protection locked="0"/>
    </xf>
    <xf numFmtId="0" fontId="30" fillId="0" borderId="17" xfId="4" applyNumberFormat="1" applyFont="1" applyFill="1" applyBorder="1" applyAlignment="1">
      <alignment horizontal="center" vertical="center" wrapText="1"/>
      <protection locked="0"/>
    </xf>
    <xf numFmtId="0" fontId="30" fillId="5" borderId="50" xfId="4" applyNumberFormat="1" applyFont="1" applyFill="1" applyBorder="1" applyAlignment="1">
      <alignment horizontal="center"/>
      <protection locked="0"/>
    </xf>
    <xf numFmtId="0" fontId="43" fillId="3" borderId="51" xfId="0" applyFont="1" applyFill="1" applyBorder="1" applyAlignment="1">
      <alignment wrapText="1"/>
    </xf>
    <xf numFmtId="2" fontId="30" fillId="5" borderId="5" xfId="4" applyNumberFormat="1" applyFont="1" applyFill="1" applyBorder="1" applyAlignment="1" applyProtection="1">
      <alignment horizontal="center" vertical="center"/>
      <protection locked="0"/>
    </xf>
    <xf numFmtId="2" fontId="30" fillId="5" borderId="13" xfId="4" applyNumberFormat="1" applyFont="1" applyFill="1" applyBorder="1" applyAlignment="1" applyProtection="1">
      <alignment horizontal="center" vertical="center"/>
      <protection locked="0"/>
    </xf>
    <xf numFmtId="2" fontId="30" fillId="5" borderId="20" xfId="4" applyNumberFormat="1" applyFont="1" applyFill="1" applyBorder="1" applyAlignment="1" applyProtection="1">
      <alignment horizontal="center" vertical="center"/>
      <protection locked="0"/>
    </xf>
    <xf numFmtId="164" fontId="30" fillId="5" borderId="31" xfId="0" applyNumberFormat="1" applyFont="1" applyFill="1" applyBorder="1" applyAlignment="1" applyProtection="1">
      <alignment horizontal="center" vertical="center"/>
      <protection locked="0"/>
    </xf>
    <xf numFmtId="164" fontId="30" fillId="5" borderId="77" xfId="0" applyNumberFormat="1" applyFont="1" applyFill="1" applyBorder="1" applyAlignment="1" applyProtection="1">
      <alignment horizontal="center" vertical="center"/>
      <protection locked="0"/>
    </xf>
    <xf numFmtId="164" fontId="30" fillId="5" borderId="42" xfId="0" applyNumberFormat="1" applyFont="1" applyFill="1" applyBorder="1" applyAlignment="1" applyProtection="1">
      <alignment horizontal="center" vertical="center"/>
      <protection locked="0"/>
    </xf>
    <xf numFmtId="164" fontId="30" fillId="5" borderId="28" xfId="0" applyNumberFormat="1" applyFont="1" applyFill="1" applyBorder="1" applyAlignment="1" applyProtection="1">
      <alignment horizontal="center" vertical="center"/>
      <protection locked="0"/>
    </xf>
    <xf numFmtId="164" fontId="30" fillId="5" borderId="25" xfId="0" applyNumberFormat="1" applyFont="1" applyFill="1" applyBorder="1" applyAlignment="1" applyProtection="1">
      <alignment horizontal="center" vertical="center"/>
      <protection locked="0"/>
    </xf>
    <xf numFmtId="164" fontId="30" fillId="5" borderId="27" xfId="0" applyNumberFormat="1" applyFont="1" applyFill="1" applyBorder="1" applyAlignment="1" applyProtection="1">
      <alignment horizontal="center" vertical="center"/>
      <protection locked="0"/>
    </xf>
    <xf numFmtId="164" fontId="30" fillId="5" borderId="1" xfId="0" applyNumberFormat="1" applyFont="1" applyFill="1" applyBorder="1" applyAlignment="1" applyProtection="1">
      <alignment horizontal="center" vertical="center"/>
      <protection locked="0"/>
    </xf>
    <xf numFmtId="164" fontId="30" fillId="5" borderId="32" xfId="0" applyNumberFormat="1" applyFont="1" applyFill="1" applyBorder="1" applyAlignment="1" applyProtection="1">
      <alignment horizontal="center" vertical="center"/>
      <protection locked="0"/>
    </xf>
    <xf numFmtId="164" fontId="30" fillId="5" borderId="77" xfId="0" applyNumberFormat="1" applyFont="1" applyFill="1" applyBorder="1" applyAlignment="1" applyProtection="1">
      <alignment horizontal="center"/>
      <protection locked="0"/>
    </xf>
    <xf numFmtId="164" fontId="30" fillId="5" borderId="31" xfId="0" applyNumberFormat="1" applyFont="1" applyFill="1" applyBorder="1" applyAlignment="1" applyProtection="1">
      <alignment horizontal="center"/>
      <protection locked="0"/>
    </xf>
    <xf numFmtId="164" fontId="30" fillId="5" borderId="42" xfId="0" applyNumberFormat="1" applyFont="1" applyFill="1" applyBorder="1" applyAlignment="1" applyProtection="1">
      <alignment horizontal="center"/>
      <protection locked="0"/>
    </xf>
    <xf numFmtId="164" fontId="30" fillId="5" borderId="28" xfId="0" applyNumberFormat="1" applyFont="1" applyFill="1" applyBorder="1" applyAlignment="1" applyProtection="1">
      <alignment horizontal="center"/>
      <protection locked="0"/>
    </xf>
    <xf numFmtId="0" fontId="23" fillId="4" borderId="33" xfId="2" applyNumberFormat="1" applyFont="1" applyFill="1" applyBorder="1" applyAlignment="1">
      <alignment horizontal="right"/>
    </xf>
    <xf numFmtId="3" fontId="7" fillId="4" borderId="32" xfId="2" applyNumberFormat="1" applyFont="1" applyFill="1" applyBorder="1" applyAlignment="1"/>
    <xf numFmtId="3" fontId="7" fillId="4" borderId="2" xfId="2" applyNumberFormat="1" applyFont="1" applyFill="1" applyBorder="1" applyAlignment="1"/>
    <xf numFmtId="3" fontId="23" fillId="4" borderId="16" xfId="2" applyNumberFormat="1" applyFont="1" applyFill="1" applyBorder="1" applyAlignment="1"/>
    <xf numFmtId="0" fontId="27" fillId="3" borderId="1" xfId="2" applyNumberFormat="1" applyFont="1" applyFill="1" applyBorder="1" applyAlignment="1">
      <alignment horizontal="center"/>
    </xf>
    <xf numFmtId="0" fontId="30" fillId="0" borderId="73" xfId="4" applyNumberFormat="1" applyFont="1" applyFill="1" applyBorder="1" applyAlignment="1">
      <alignment horizontal="left" vertical="top" wrapText="1"/>
      <protection locked="0"/>
    </xf>
    <xf numFmtId="0" fontId="23" fillId="3" borderId="0" xfId="2" applyNumberFormat="1" applyFont="1" applyFill="1" applyBorder="1" applyAlignment="1"/>
    <xf numFmtId="0" fontId="30" fillId="0" borderId="71" xfId="4" applyNumberFormat="1" applyFont="1" applyFill="1" applyBorder="1" applyAlignment="1">
      <alignment horizontal="left" vertical="top" wrapText="1"/>
      <protection locked="0"/>
    </xf>
    <xf numFmtId="0" fontId="30" fillId="5" borderId="73" xfId="2" applyNumberFormat="1" applyFont="1" applyFill="1" applyBorder="1" applyAlignment="1" applyProtection="1">
      <protection locked="0"/>
    </xf>
    <xf numFmtId="0" fontId="49" fillId="0" borderId="13" xfId="4" applyNumberFormat="1" applyFont="1" applyFill="1" applyBorder="1" applyAlignment="1">
      <alignment horizontal="left"/>
      <protection locked="0"/>
    </xf>
    <xf numFmtId="0" fontId="49" fillId="5" borderId="13" xfId="4" applyNumberFormat="1" applyFont="1" applyFill="1" applyBorder="1" applyAlignment="1">
      <alignment horizontal="left"/>
      <protection locked="0"/>
    </xf>
    <xf numFmtId="0" fontId="30" fillId="0" borderId="13" xfId="2" applyNumberFormat="1" applyFont="1" applyFill="1" applyBorder="1" applyAlignment="1">
      <alignment horizontal="left"/>
    </xf>
    <xf numFmtId="0" fontId="30" fillId="5" borderId="41" xfId="4" applyNumberFormat="1" applyFont="1" applyFill="1" applyBorder="1" applyAlignment="1">
      <protection locked="0"/>
    </xf>
    <xf numFmtId="0" fontId="30" fillId="5" borderId="58" xfId="4" applyNumberFormat="1" applyFont="1" applyFill="1" applyBorder="1" applyAlignment="1">
      <protection locked="0"/>
    </xf>
    <xf numFmtId="0" fontId="30" fillId="5" borderId="45" xfId="4" applyNumberFormat="1" applyFont="1" applyFill="1" applyBorder="1" applyAlignment="1">
      <protection locked="0"/>
    </xf>
    <xf numFmtId="0" fontId="30" fillId="5" borderId="37" xfId="4" applyNumberFormat="1" applyFont="1" applyFill="1" applyBorder="1" applyAlignment="1">
      <alignment horizontal="center"/>
      <protection locked="0"/>
    </xf>
    <xf numFmtId="0" fontId="30" fillId="5" borderId="13" xfId="2" applyNumberFormat="1" applyFont="1" applyFill="1" applyBorder="1" applyAlignment="1" applyProtection="1">
      <protection locked="0"/>
    </xf>
    <xf numFmtId="0" fontId="30" fillId="5" borderId="26" xfId="4" applyNumberFormat="1" applyFont="1" applyFill="1" applyBorder="1" applyAlignment="1">
      <protection locked="0"/>
    </xf>
    <xf numFmtId="0" fontId="30" fillId="5" borderId="68" xfId="4" applyNumberFormat="1" applyFont="1" applyFill="1" applyBorder="1" applyAlignment="1">
      <protection locked="0"/>
    </xf>
    <xf numFmtId="0" fontId="30" fillId="5" borderId="69" xfId="4" applyNumberFormat="1" applyFont="1" applyFill="1" applyBorder="1" applyAlignment="1">
      <protection locked="0"/>
    </xf>
    <xf numFmtId="0" fontId="30" fillId="5" borderId="16" xfId="4" applyNumberFormat="1" applyFont="1" applyFill="1" applyBorder="1" applyAlignment="1">
      <protection locked="0"/>
    </xf>
    <xf numFmtId="0" fontId="30" fillId="5" borderId="64" xfId="4" applyNumberFormat="1" applyFont="1" applyFill="1" applyBorder="1" applyAlignment="1">
      <protection locked="0"/>
    </xf>
    <xf numFmtId="0" fontId="30" fillId="5" borderId="4" xfId="4" applyNumberFormat="1" applyFont="1" applyFill="1" applyBorder="1" applyAlignment="1">
      <protection locked="0"/>
    </xf>
    <xf numFmtId="2" fontId="30" fillId="0" borderId="11" xfId="4" applyNumberFormat="1" applyFont="1" applyFill="1" applyBorder="1" applyAlignment="1">
      <alignment horizontal="center"/>
      <protection locked="0"/>
    </xf>
    <xf numFmtId="164" fontId="30" fillId="0" borderId="5" xfId="4" applyNumberFormat="1" applyFont="1" applyFill="1" applyBorder="1" applyAlignment="1">
      <alignment horizontal="center"/>
      <protection locked="0"/>
    </xf>
    <xf numFmtId="2" fontId="30" fillId="0" borderId="20" xfId="4" applyNumberFormat="1" applyFont="1" applyFill="1" applyBorder="1" applyAlignment="1">
      <alignment horizontal="center"/>
      <protection locked="0"/>
    </xf>
    <xf numFmtId="164" fontId="30" fillId="0" borderId="13" xfId="4" applyNumberFormat="1" applyFont="1" applyFill="1" applyBorder="1" applyAlignment="1">
      <alignment horizontal="center"/>
      <protection locked="0"/>
    </xf>
    <xf numFmtId="164" fontId="30" fillId="0" borderId="38" xfId="4" applyNumberFormat="1" applyFont="1" applyFill="1" applyBorder="1" applyAlignment="1">
      <alignment horizontal="center"/>
      <protection locked="0"/>
    </xf>
    <xf numFmtId="0" fontId="23" fillId="0" borderId="28" xfId="4" applyNumberFormat="1" applyFont="1" applyFill="1" applyBorder="1" applyAlignment="1">
      <protection locked="0"/>
    </xf>
    <xf numFmtId="0" fontId="23" fillId="0" borderId="29" xfId="4" applyNumberFormat="1" applyFont="1" applyFill="1" applyBorder="1" applyAlignment="1">
      <protection locked="0"/>
    </xf>
    <xf numFmtId="0" fontId="30" fillId="5" borderId="27" xfId="4" applyNumberFormat="1" applyFont="1" applyFill="1" applyBorder="1" applyAlignment="1">
      <protection locked="0"/>
    </xf>
    <xf numFmtId="0" fontId="30" fillId="5" borderId="28" xfId="4" applyNumberFormat="1" applyFont="1" applyFill="1" applyBorder="1" applyAlignment="1">
      <protection locked="0"/>
    </xf>
    <xf numFmtId="0" fontId="30" fillId="0" borderId="28" xfId="4" applyNumberFormat="1" applyFont="1" applyFill="1" applyBorder="1" applyAlignment="1">
      <protection locked="0"/>
    </xf>
    <xf numFmtId="0" fontId="30" fillId="0" borderId="29" xfId="4" applyNumberFormat="1" applyFont="1" applyFill="1" applyBorder="1" applyAlignment="1">
      <protection locked="0"/>
    </xf>
    <xf numFmtId="0" fontId="30" fillId="0" borderId="4" xfId="4" applyNumberFormat="1" applyFont="1" applyFill="1" applyBorder="1" applyAlignment="1">
      <protection locked="0"/>
    </xf>
    <xf numFmtId="0" fontId="23" fillId="3" borderId="71" xfId="2" applyNumberFormat="1" applyFont="1" applyFill="1" applyBorder="1" applyAlignment="1"/>
    <xf numFmtId="0" fontId="23" fillId="0" borderId="27" xfId="4" applyNumberFormat="1" applyFont="1" applyFill="1" applyBorder="1" applyAlignment="1">
      <protection locked="0"/>
    </xf>
    <xf numFmtId="0" fontId="23" fillId="0" borderId="32" xfId="4" applyNumberFormat="1" applyFont="1" applyFill="1" applyBorder="1" applyAlignment="1">
      <protection locked="0"/>
    </xf>
    <xf numFmtId="0" fontId="23" fillId="0" borderId="16" xfId="4" applyNumberFormat="1" applyFont="1" applyFill="1" applyBorder="1" applyAlignment="1">
      <protection locked="0"/>
    </xf>
    <xf numFmtId="0" fontId="30" fillId="0" borderId="32" xfId="4" applyNumberFormat="1" applyFont="1" applyFill="1" applyBorder="1" applyAlignment="1">
      <protection locked="0"/>
    </xf>
    <xf numFmtId="0" fontId="30" fillId="0" borderId="16" xfId="4" applyNumberFormat="1" applyFont="1" applyFill="1" applyBorder="1" applyAlignment="1">
      <protection locked="0"/>
    </xf>
    <xf numFmtId="0" fontId="0" fillId="8" borderId="4" xfId="4" applyNumberFormat="1" applyFont="1" applyFill="1" applyBorder="1" applyAlignment="1" applyProtection="1">
      <alignment horizontal="center" vertical="center" wrapText="1"/>
    </xf>
    <xf numFmtId="0" fontId="0" fillId="8" borderId="16" xfId="4" applyNumberFormat="1" applyFont="1" applyFill="1" applyBorder="1" applyAlignment="1" applyProtection="1"/>
    <xf numFmtId="0" fontId="30" fillId="5" borderId="32" xfId="4" applyNumberFormat="1" applyFont="1" applyFill="1" applyBorder="1" applyAlignment="1">
      <protection locked="0"/>
    </xf>
    <xf numFmtId="0" fontId="30" fillId="0" borderId="71" xfId="4" applyNumberFormat="1" applyFont="1" applyFill="1" applyBorder="1" applyAlignment="1">
      <protection locked="0"/>
    </xf>
    <xf numFmtId="0" fontId="30" fillId="0" borderId="73" xfId="4" applyNumberFormat="1" applyFont="1" applyFill="1" applyBorder="1" applyAlignment="1">
      <protection locked="0"/>
    </xf>
    <xf numFmtId="0" fontId="46" fillId="0" borderId="73" xfId="4" applyNumberFormat="1" applyFont="1" applyFill="1" applyBorder="1" applyAlignment="1">
      <protection locked="0"/>
    </xf>
    <xf numFmtId="3" fontId="49" fillId="4" borderId="34" xfId="2" applyNumberFormat="1" applyFont="1" applyFill="1" applyBorder="1" applyAlignment="1"/>
    <xf numFmtId="3" fontId="30" fillId="4" borderId="34" xfId="2" applyNumberFormat="1" applyFont="1" applyFill="1" applyBorder="1" applyAlignment="1"/>
    <xf numFmtId="3" fontId="30" fillId="4" borderId="63" xfId="2" applyNumberFormat="1" applyFont="1" applyFill="1" applyBorder="1" applyAlignment="1"/>
    <xf numFmtId="164" fontId="49" fillId="4" borderId="57" xfId="2" applyNumberFormat="1" applyFont="1" applyFill="1" applyBorder="1" applyAlignment="1">
      <alignment horizontal="right"/>
    </xf>
    <xf numFmtId="164" fontId="49" fillId="4" borderId="34" xfId="2" applyNumberFormat="1" applyFont="1" applyFill="1" applyBorder="1" applyAlignment="1">
      <alignment horizontal="right"/>
    </xf>
    <xf numFmtId="3" fontId="49" fillId="4" borderId="13" xfId="2" applyNumberFormat="1" applyFont="1" applyFill="1" applyBorder="1" applyAlignment="1"/>
    <xf numFmtId="3" fontId="49" fillId="4" borderId="13" xfId="2" quotePrefix="1" applyNumberFormat="1" applyFont="1" applyFill="1" applyBorder="1" applyAlignment="1">
      <alignment horizontal="right"/>
    </xf>
    <xf numFmtId="3" fontId="30" fillId="4" borderId="61" xfId="2" applyNumberFormat="1" applyFont="1" applyFill="1" applyBorder="1" applyAlignment="1"/>
    <xf numFmtId="164" fontId="49" fillId="4" borderId="45" xfId="2" applyNumberFormat="1" applyFont="1" applyFill="1" applyBorder="1" applyAlignment="1">
      <alignment horizontal="right"/>
    </xf>
    <xf numFmtId="164" fontId="49" fillId="4" borderId="13" xfId="2" applyNumberFormat="1" applyFont="1" applyFill="1" applyBorder="1" applyAlignment="1">
      <alignment horizontal="right"/>
    </xf>
    <xf numFmtId="3" fontId="30" fillId="4" borderId="13" xfId="2" applyNumberFormat="1" applyFont="1" applyFill="1" applyBorder="1" applyAlignment="1"/>
    <xf numFmtId="3" fontId="30" fillId="4" borderId="14" xfId="2" applyNumberFormat="1" applyFont="1" applyFill="1" applyBorder="1" applyAlignment="1"/>
    <xf numFmtId="3" fontId="49" fillId="4" borderId="14" xfId="2" applyNumberFormat="1" applyFont="1" applyFill="1" applyBorder="1" applyAlignment="1"/>
    <xf numFmtId="3" fontId="30" fillId="6" borderId="13" xfId="2" applyNumberFormat="1" applyFont="1" applyFill="1" applyBorder="1" applyAlignment="1"/>
    <xf numFmtId="3" fontId="30" fillId="6" borderId="61" xfId="2" applyNumberFormat="1" applyFont="1" applyFill="1" applyBorder="1" applyAlignment="1"/>
    <xf numFmtId="164" fontId="49" fillId="6" borderId="45" xfId="2" applyNumberFormat="1" applyFont="1" applyFill="1" applyBorder="1" applyAlignment="1"/>
    <xf numFmtId="164" fontId="49" fillId="6" borderId="13" xfId="2" applyNumberFormat="1" applyFont="1" applyFill="1" applyBorder="1" applyAlignment="1"/>
    <xf numFmtId="164" fontId="49" fillId="6" borderId="0" xfId="2" applyNumberFormat="1" applyFont="1" applyFill="1" applyBorder="1" applyAlignment="1"/>
    <xf numFmtId="3" fontId="49" fillId="6" borderId="13" xfId="2" applyNumberFormat="1" applyFont="1" applyFill="1" applyBorder="1" applyAlignment="1"/>
    <xf numFmtId="3" fontId="98" fillId="6" borderId="13" xfId="2" applyNumberFormat="1" applyFont="1" applyFill="1" applyBorder="1" applyAlignment="1"/>
    <xf numFmtId="3" fontId="30" fillId="6" borderId="14" xfId="2" applyNumberFormat="1" applyFont="1" applyFill="1" applyBorder="1" applyAlignment="1"/>
    <xf numFmtId="1" fontId="49" fillId="6" borderId="45" xfId="2" applyNumberFormat="1" applyFont="1" applyFill="1" applyBorder="1" applyAlignment="1"/>
    <xf numFmtId="1" fontId="49" fillId="6" borderId="13" xfId="2" applyNumberFormat="1" applyFont="1" applyFill="1" applyBorder="1" applyAlignment="1"/>
    <xf numFmtId="164" fontId="30" fillId="6" borderId="13" xfId="2" applyNumberFormat="1" applyFont="1" applyFill="1" applyBorder="1" applyAlignment="1"/>
    <xf numFmtId="164" fontId="30" fillId="6" borderId="0" xfId="2" applyNumberFormat="1" applyFont="1" applyFill="1" applyBorder="1" applyAlignment="1"/>
    <xf numFmtId="3" fontId="49" fillId="4" borderId="36" xfId="2" applyNumberFormat="1" applyFont="1" applyFill="1" applyBorder="1" applyAlignment="1"/>
    <xf numFmtId="3" fontId="30" fillId="4" borderId="36" xfId="2" applyNumberFormat="1" applyFont="1" applyFill="1" applyBorder="1" applyAlignment="1"/>
    <xf numFmtId="3" fontId="98" fillId="6" borderId="36" xfId="2" applyNumberFormat="1" applyFont="1" applyFill="1" applyBorder="1" applyAlignment="1"/>
    <xf numFmtId="3" fontId="30" fillId="6" borderId="40" xfId="2" applyNumberFormat="1" applyFont="1" applyFill="1" applyBorder="1" applyAlignment="1"/>
    <xf numFmtId="164" fontId="30" fillId="6" borderId="45" xfId="2" applyNumberFormat="1" applyFont="1" applyFill="1" applyBorder="1" applyAlignment="1"/>
    <xf numFmtId="3" fontId="49" fillId="5" borderId="36" xfId="4" applyNumberFormat="1" applyFont="1" applyFill="1" applyBorder="1" applyAlignment="1">
      <protection locked="0"/>
    </xf>
    <xf numFmtId="164" fontId="30" fillId="6" borderId="36" xfId="2" applyNumberFormat="1" applyFont="1" applyFill="1" applyBorder="1" applyAlignment="1"/>
    <xf numFmtId="164" fontId="30" fillId="6" borderId="59" xfId="2" applyNumberFormat="1" applyFont="1" applyFill="1" applyBorder="1" applyAlignment="1"/>
    <xf numFmtId="3" fontId="49" fillId="5" borderId="13" xfId="4" applyNumberFormat="1" applyFont="1" applyFill="1" applyBorder="1" applyAlignment="1">
      <protection locked="0"/>
    </xf>
    <xf numFmtId="3" fontId="49" fillId="5" borderId="8" xfId="4" applyNumberFormat="1" applyFont="1" applyFill="1" applyBorder="1" applyAlignment="1">
      <protection locked="0"/>
    </xf>
    <xf numFmtId="3" fontId="30" fillId="4" borderId="8" xfId="2" applyNumberFormat="1" applyFont="1" applyFill="1" applyBorder="1" applyAlignment="1"/>
    <xf numFmtId="3" fontId="30" fillId="6" borderId="8" xfId="2" applyNumberFormat="1" applyFont="1" applyFill="1" applyBorder="1" applyAlignment="1"/>
    <xf numFmtId="3" fontId="30" fillId="6" borderId="35" xfId="2" applyNumberFormat="1" applyFont="1" applyFill="1" applyBorder="1" applyAlignment="1"/>
    <xf numFmtId="164" fontId="30" fillId="6" borderId="8" xfId="2" applyNumberFormat="1" applyFont="1" applyFill="1" applyBorder="1" applyAlignment="1"/>
    <xf numFmtId="164" fontId="30" fillId="6" borderId="3" xfId="2" applyNumberFormat="1" applyFont="1" applyFill="1" applyBorder="1" applyAlignment="1"/>
    <xf numFmtId="3" fontId="30" fillId="4" borderId="57" xfId="2" applyNumberFormat="1" applyFont="1" applyFill="1" applyBorder="1" applyAlignment="1"/>
    <xf numFmtId="0" fontId="30" fillId="4" borderId="40" xfId="2" applyNumberFormat="1" applyFont="1" applyFill="1" applyBorder="1" applyAlignment="1"/>
    <xf numFmtId="164" fontId="30" fillId="4" borderId="57" xfId="2" applyNumberFormat="1" applyFont="1" applyFill="1" applyBorder="1" applyAlignment="1"/>
    <xf numFmtId="0" fontId="30" fillId="4" borderId="14" xfId="2" applyNumberFormat="1" applyFont="1" applyFill="1" applyBorder="1" applyAlignment="1"/>
    <xf numFmtId="3" fontId="30" fillId="6" borderId="45" xfId="2" applyNumberFormat="1" applyFont="1" applyFill="1" applyBorder="1" applyAlignment="1"/>
    <xf numFmtId="0" fontId="30" fillId="6" borderId="14" xfId="2" applyNumberFormat="1" applyFont="1" applyFill="1" applyBorder="1" applyAlignment="1"/>
    <xf numFmtId="164" fontId="30" fillId="6" borderId="41" xfId="2" applyNumberFormat="1" applyFont="1" applyFill="1" applyBorder="1" applyAlignment="1"/>
    <xf numFmtId="1" fontId="30" fillId="6" borderId="45" xfId="2" applyNumberFormat="1" applyFont="1" applyFill="1" applyBorder="1" applyAlignment="1"/>
    <xf numFmtId="1" fontId="30" fillId="6" borderId="13" xfId="2" applyNumberFormat="1" applyFont="1" applyFill="1" applyBorder="1" applyAlignment="1"/>
    <xf numFmtId="164" fontId="30" fillId="6" borderId="55" xfId="2" applyNumberFormat="1" applyFont="1" applyFill="1" applyBorder="1" applyAlignment="1"/>
    <xf numFmtId="3" fontId="30" fillId="4" borderId="45" xfId="2" applyNumberFormat="1" applyFont="1" applyFill="1" applyBorder="1" applyAlignment="1"/>
    <xf numFmtId="164" fontId="30" fillId="4" borderId="45" xfId="2" applyNumberFormat="1" applyFont="1" applyFill="1" applyBorder="1" applyAlignment="1"/>
    <xf numFmtId="3" fontId="30" fillId="5" borderId="45" xfId="4" applyNumberFormat="1" applyFont="1" applyFill="1" applyBorder="1" applyAlignment="1">
      <protection locked="0"/>
    </xf>
    <xf numFmtId="3" fontId="30" fillId="5" borderId="47" xfId="4" applyNumberFormat="1" applyFont="1" applyFill="1" applyBorder="1" applyAlignment="1">
      <protection locked="0"/>
    </xf>
    <xf numFmtId="0" fontId="30" fillId="6" borderId="35" xfId="2" applyNumberFormat="1" applyFont="1" applyFill="1" applyBorder="1" applyAlignment="1"/>
    <xf numFmtId="0" fontId="30" fillId="4" borderId="37" xfId="2" applyNumberFormat="1" applyFont="1" applyFill="1" applyBorder="1" applyAlignment="1">
      <alignment horizontal="center"/>
    </xf>
    <xf numFmtId="3" fontId="30" fillId="4" borderId="16" xfId="2" applyNumberFormat="1" applyFont="1" applyFill="1" applyBorder="1" applyAlignment="1">
      <alignment horizontal="center"/>
    </xf>
    <xf numFmtId="0" fontId="30" fillId="4" borderId="32" xfId="2" applyNumberFormat="1" applyFont="1" applyFill="1" applyBorder="1" applyAlignment="1">
      <alignment horizontal="center"/>
    </xf>
    <xf numFmtId="164" fontId="25" fillId="3" borderId="0" xfId="2" applyNumberFormat="1" applyFont="1" applyFill="1" applyBorder="1" applyAlignment="1"/>
    <xf numFmtId="3" fontId="30" fillId="4" borderId="11" xfId="2" applyNumberFormat="1" applyFont="1" applyFill="1" applyBorder="1" applyAlignment="1"/>
    <xf numFmtId="3" fontId="30" fillId="4" borderId="26" xfId="2" applyNumberFormat="1" applyFont="1" applyFill="1" applyBorder="1" applyAlignment="1"/>
    <xf numFmtId="3" fontId="30" fillId="4" borderId="27" xfId="2" applyNumberFormat="1" applyFont="1" applyFill="1" applyBorder="1" applyAlignment="1"/>
    <xf numFmtId="3" fontId="30" fillId="4" borderId="20" xfId="2" applyNumberFormat="1" applyFont="1" applyFill="1" applyBorder="1" applyAlignment="1"/>
    <xf numFmtId="3" fontId="30" fillId="4" borderId="68" xfId="2" applyNumberFormat="1" applyFont="1" applyFill="1" applyBorder="1" applyAlignment="1"/>
    <xf numFmtId="3" fontId="30" fillId="4" borderId="28" xfId="2" applyNumberFormat="1" applyFont="1" applyFill="1" applyBorder="1" applyAlignment="1"/>
    <xf numFmtId="3" fontId="30" fillId="4" borderId="12" xfId="2" applyNumberFormat="1" applyFont="1" applyFill="1" applyBorder="1" applyAlignment="1"/>
    <xf numFmtId="3" fontId="30" fillId="4" borderId="35" xfId="2" applyNumberFormat="1" applyFont="1" applyFill="1" applyBorder="1" applyAlignment="1"/>
    <xf numFmtId="3" fontId="30" fillId="4" borderId="69" xfId="2" applyNumberFormat="1" applyFont="1" applyFill="1" applyBorder="1" applyAlignment="1"/>
    <xf numFmtId="3" fontId="30" fillId="4" borderId="29" xfId="2" applyNumberFormat="1" applyFont="1" applyFill="1" applyBorder="1" applyAlignment="1"/>
    <xf numFmtId="3" fontId="30" fillId="4" borderId="64" xfId="2" applyNumberFormat="1" applyFont="1" applyFill="1" applyBorder="1" applyAlignment="1"/>
    <xf numFmtId="3" fontId="30" fillId="4" borderId="31" xfId="2" applyNumberFormat="1" applyFont="1" applyFill="1" applyBorder="1" applyAlignment="1"/>
    <xf numFmtId="3" fontId="30" fillId="4" borderId="4" xfId="2" applyNumberFormat="1" applyFont="1" applyFill="1" applyBorder="1" applyAlignment="1"/>
    <xf numFmtId="3" fontId="30" fillId="4" borderId="32" xfId="2" applyNumberFormat="1" applyFont="1" applyFill="1" applyBorder="1" applyAlignment="1"/>
    <xf numFmtId="3" fontId="46" fillId="4" borderId="26" xfId="2" applyNumberFormat="1" applyFont="1" applyFill="1" applyBorder="1" applyAlignment="1"/>
    <xf numFmtId="3" fontId="46" fillId="4" borderId="27" xfId="2" applyNumberFormat="1" applyFont="1" applyFill="1" applyBorder="1" applyAlignment="1"/>
    <xf numFmtId="3" fontId="46" fillId="4" borderId="68" xfId="2" applyNumberFormat="1" applyFont="1" applyFill="1" applyBorder="1" applyAlignment="1"/>
    <xf numFmtId="3" fontId="46" fillId="4" borderId="28" xfId="2" applyNumberFormat="1" applyFont="1" applyFill="1" applyBorder="1" applyAlignment="1"/>
    <xf numFmtId="3" fontId="46" fillId="4" borderId="69" xfId="2" applyNumberFormat="1" applyFont="1" applyFill="1" applyBorder="1" applyAlignment="1"/>
    <xf numFmtId="3" fontId="46" fillId="4" borderId="29" xfId="2" applyNumberFormat="1" applyFont="1" applyFill="1" applyBorder="1" applyAlignment="1"/>
    <xf numFmtId="3" fontId="30" fillId="5" borderId="68" xfId="2" applyNumberFormat="1" applyFont="1" applyFill="1" applyBorder="1" applyAlignment="1" applyProtection="1">
      <protection locked="0"/>
    </xf>
    <xf numFmtId="3" fontId="30" fillId="5" borderId="28" xfId="2" applyNumberFormat="1" applyFont="1" applyFill="1" applyBorder="1" applyAlignment="1" applyProtection="1">
      <protection locked="0"/>
    </xf>
    <xf numFmtId="3" fontId="30" fillId="5" borderId="69" xfId="2" applyNumberFormat="1" applyFont="1" applyFill="1" applyBorder="1" applyAlignment="1" applyProtection="1">
      <protection locked="0"/>
    </xf>
    <xf numFmtId="3" fontId="30" fillId="5" borderId="29" xfId="2" applyNumberFormat="1" applyFont="1" applyFill="1" applyBorder="1" applyAlignment="1" applyProtection="1">
      <protection locked="0"/>
    </xf>
    <xf numFmtId="164" fontId="30" fillId="4" borderId="11" xfId="2" applyNumberFormat="1" applyFont="1" applyFill="1" applyBorder="1" applyAlignment="1"/>
    <xf numFmtId="164" fontId="30" fillId="4" borderId="5" xfId="2" applyNumberFormat="1" applyFont="1" applyFill="1" applyBorder="1" applyAlignment="1"/>
    <xf numFmtId="164" fontId="30" fillId="4" borderId="63" xfId="2" applyNumberFormat="1" applyFont="1" applyFill="1" applyBorder="1" applyAlignment="1"/>
    <xf numFmtId="164" fontId="30" fillId="4" borderId="20" xfId="2" applyNumberFormat="1" applyFont="1" applyFill="1" applyBorder="1" applyAlignment="1"/>
    <xf numFmtId="164" fontId="30" fillId="4" borderId="14" xfId="2" applyNumberFormat="1" applyFont="1" applyFill="1" applyBorder="1" applyAlignment="1"/>
    <xf numFmtId="164" fontId="30" fillId="4" borderId="12" xfId="2" applyNumberFormat="1" applyFont="1" applyFill="1" applyBorder="1" applyAlignment="1"/>
    <xf numFmtId="164" fontId="30" fillId="4" borderId="8" xfId="2" applyNumberFormat="1" applyFont="1" applyFill="1" applyBorder="1" applyAlignment="1"/>
    <xf numFmtId="164" fontId="30" fillId="4" borderId="35" xfId="2" applyNumberFormat="1" applyFont="1" applyFill="1" applyBorder="1" applyAlignment="1"/>
    <xf numFmtId="164" fontId="99" fillId="4" borderId="71" xfId="2" applyNumberFormat="1" applyFont="1" applyFill="1" applyBorder="1" applyAlignment="1"/>
    <xf numFmtId="164" fontId="33" fillId="4" borderId="71" xfId="2" applyNumberFormat="1" applyFont="1" applyFill="1" applyBorder="1" applyAlignment="1"/>
    <xf numFmtId="3" fontId="30" fillId="5" borderId="34" xfId="4" applyNumberFormat="1" applyFont="1" applyFill="1" applyBorder="1" applyAlignment="1">
      <protection locked="0"/>
    </xf>
    <xf numFmtId="3" fontId="30" fillId="5" borderId="40" xfId="4" applyNumberFormat="1" applyFont="1" applyFill="1" applyBorder="1" applyAlignment="1">
      <protection locked="0"/>
    </xf>
    <xf numFmtId="3" fontId="30" fillId="5" borderId="57" xfId="4" applyNumberFormat="1" applyFont="1" applyFill="1" applyBorder="1" applyAlignment="1">
      <protection locked="0"/>
    </xf>
    <xf numFmtId="3" fontId="30" fillId="5" borderId="39" xfId="4" applyNumberFormat="1" applyFont="1" applyFill="1" applyBorder="1" applyAlignment="1">
      <protection locked="0"/>
    </xf>
    <xf numFmtId="3" fontId="30" fillId="5" borderId="26" xfId="4" applyNumberFormat="1" applyFont="1" applyFill="1" applyBorder="1" applyAlignment="1">
      <protection locked="0"/>
    </xf>
    <xf numFmtId="3" fontId="30" fillId="5" borderId="63" xfId="4" applyNumberFormat="1" applyFont="1" applyFill="1" applyBorder="1" applyAlignment="1">
      <protection locked="0"/>
    </xf>
    <xf numFmtId="3" fontId="30" fillId="4" borderId="51" xfId="2" applyNumberFormat="1" applyFont="1" applyFill="1" applyBorder="1" applyAlignment="1"/>
    <xf numFmtId="3" fontId="30" fillId="4" borderId="39" xfId="2" applyNumberFormat="1" applyFont="1" applyFill="1" applyBorder="1" applyAlignment="1">
      <alignment horizontal="right"/>
    </xf>
    <xf numFmtId="3" fontId="30" fillId="4" borderId="57" xfId="2" applyNumberFormat="1" applyFont="1" applyFill="1" applyBorder="1" applyAlignment="1">
      <alignment horizontal="right"/>
    </xf>
    <xf numFmtId="2" fontId="30" fillId="5" borderId="57" xfId="4" applyNumberFormat="1" applyFont="1" applyFill="1" applyBorder="1" applyAlignment="1">
      <protection locked="0"/>
    </xf>
    <xf numFmtId="3" fontId="30" fillId="0" borderId="34" xfId="4" applyNumberFormat="1" applyFont="1" applyFill="1" applyBorder="1" applyAlignment="1">
      <protection locked="0"/>
    </xf>
    <xf numFmtId="3" fontId="30" fillId="5" borderId="46" xfId="4" applyNumberFormat="1" applyFont="1" applyFill="1" applyBorder="1" applyAlignment="1">
      <protection locked="0"/>
    </xf>
    <xf numFmtId="3" fontId="30" fillId="4" borderId="66" xfId="2" applyNumberFormat="1" applyFont="1" applyFill="1" applyBorder="1" applyAlignment="1"/>
    <xf numFmtId="3" fontId="30" fillId="5" borderId="5" xfId="4" applyNumberFormat="1" applyFont="1" applyFill="1" applyBorder="1" applyAlignment="1">
      <protection locked="0"/>
    </xf>
    <xf numFmtId="3" fontId="30" fillId="5" borderId="31" xfId="4" applyNumberFormat="1" applyFont="1" applyFill="1" applyBorder="1" applyAlignment="1">
      <protection locked="0"/>
    </xf>
    <xf numFmtId="3" fontId="30" fillId="5" borderId="64" xfId="4" applyNumberFormat="1" applyFont="1" applyFill="1" applyBorder="1" applyAlignment="1">
      <protection locked="0"/>
    </xf>
    <xf numFmtId="3" fontId="30" fillId="5" borderId="14" xfId="4" applyNumberFormat="1" applyFont="1" applyFill="1" applyBorder="1" applyAlignment="1">
      <protection locked="0"/>
    </xf>
    <xf numFmtId="3" fontId="30" fillId="4" borderId="40" xfId="2" applyNumberFormat="1" applyFont="1" applyFill="1" applyBorder="1" applyAlignment="1"/>
    <xf numFmtId="3" fontId="30" fillId="5" borderId="13" xfId="4" applyNumberFormat="1" applyFont="1" applyFill="1" applyBorder="1" applyAlignment="1">
      <protection locked="0"/>
    </xf>
    <xf numFmtId="2" fontId="46" fillId="5" borderId="57" xfId="4" applyNumberFormat="1" applyFont="1" applyFill="1" applyBorder="1" applyAlignment="1">
      <protection locked="0"/>
    </xf>
    <xf numFmtId="3" fontId="30" fillId="5" borderId="28" xfId="4" applyNumberFormat="1" applyFont="1" applyFill="1" applyBorder="1" applyAlignment="1">
      <protection locked="0"/>
    </xf>
    <xf numFmtId="3" fontId="30" fillId="0" borderId="13" xfId="4" applyNumberFormat="1" applyFont="1" applyFill="1" applyBorder="1" applyAlignment="1">
      <protection locked="0"/>
    </xf>
    <xf numFmtId="1" fontId="49" fillId="5" borderId="9" xfId="4" applyNumberFormat="1" applyFont="1" applyFill="1" applyBorder="1" applyAlignment="1">
      <protection locked="0"/>
    </xf>
    <xf numFmtId="3" fontId="49" fillId="5" borderId="56" xfId="4" applyNumberFormat="1" applyFont="1" applyFill="1" applyBorder="1" applyAlignment="1">
      <protection locked="0"/>
    </xf>
    <xf numFmtId="3" fontId="49" fillId="5" borderId="61" xfId="4" applyNumberFormat="1" applyFont="1" applyFill="1" applyBorder="1" applyAlignment="1">
      <protection locked="0"/>
    </xf>
    <xf numFmtId="3" fontId="49" fillId="5" borderId="7" xfId="4" applyNumberFormat="1" applyFont="1" applyFill="1" applyBorder="1" applyAlignment="1">
      <protection locked="0"/>
    </xf>
    <xf numFmtId="3" fontId="49" fillId="5" borderId="44" xfId="4" applyNumberFormat="1" applyFont="1" applyFill="1" applyBorder="1" applyAlignment="1">
      <protection locked="0"/>
    </xf>
    <xf numFmtId="3" fontId="30" fillId="5" borderId="55" xfId="4" applyNumberFormat="1" applyFont="1" applyFill="1" applyBorder="1" applyAlignment="1">
      <protection locked="0"/>
    </xf>
    <xf numFmtId="3" fontId="46" fillId="5" borderId="3" xfId="4" applyNumberFormat="1" applyFont="1" applyFill="1" applyBorder="1" applyAlignment="1">
      <protection locked="0"/>
    </xf>
    <xf numFmtId="3" fontId="46" fillId="5" borderId="61" xfId="4" applyNumberFormat="1" applyFont="1" applyFill="1" applyBorder="1" applyAlignment="1">
      <protection locked="0"/>
    </xf>
    <xf numFmtId="3" fontId="46" fillId="5" borderId="10" xfId="4" applyNumberFormat="1" applyFont="1" applyFill="1" applyBorder="1" applyAlignment="1">
      <protection locked="0"/>
    </xf>
    <xf numFmtId="3" fontId="46" fillId="5" borderId="56" xfId="4" applyNumberFormat="1" applyFont="1" applyFill="1" applyBorder="1" applyAlignment="1">
      <protection locked="0"/>
    </xf>
    <xf numFmtId="4" fontId="46" fillId="5" borderId="7" xfId="4" applyNumberFormat="1" applyFont="1" applyFill="1" applyBorder="1" applyAlignment="1">
      <protection locked="0"/>
    </xf>
    <xf numFmtId="3" fontId="30" fillId="5" borderId="72" xfId="4" applyNumberFormat="1" applyFont="1" applyFill="1" applyBorder="1" applyAlignment="1">
      <protection locked="0"/>
    </xf>
    <xf numFmtId="3" fontId="30" fillId="7" borderId="51" xfId="2" applyNumberFormat="1" applyFont="1" applyFill="1" applyBorder="1" applyAlignment="1"/>
    <xf numFmtId="3" fontId="30" fillId="7" borderId="39" xfId="2" applyNumberFormat="1" applyFont="1" applyFill="1" applyBorder="1" applyAlignment="1"/>
    <xf numFmtId="3" fontId="30" fillId="7" borderId="49" xfId="2" applyNumberFormat="1" applyFont="1" applyFill="1" applyBorder="1" applyAlignment="1"/>
    <xf numFmtId="3" fontId="30" fillId="7" borderId="45" xfId="2" applyNumberFormat="1" applyFont="1" applyFill="1" applyBorder="1" applyAlignment="1"/>
    <xf numFmtId="3" fontId="30" fillId="7" borderId="34" xfId="2" applyNumberFormat="1" applyFont="1" applyFill="1" applyBorder="1" applyAlignment="1"/>
    <xf numFmtId="2" fontId="49" fillId="5" borderId="10" xfId="4" applyNumberFormat="1" applyFont="1" applyFill="1" applyBorder="1" applyAlignment="1">
      <protection locked="0"/>
    </xf>
    <xf numFmtId="3" fontId="30" fillId="7" borderId="8" xfId="2" applyNumberFormat="1" applyFont="1" applyFill="1" applyBorder="1" applyAlignment="1"/>
    <xf numFmtId="3" fontId="46" fillId="0" borderId="9" xfId="4" applyNumberFormat="1" applyFont="1" applyFill="1" applyBorder="1" applyAlignment="1">
      <protection locked="0"/>
    </xf>
    <xf numFmtId="3" fontId="46" fillId="5" borderId="49" xfId="4" applyNumberFormat="1" applyFont="1" applyFill="1" applyBorder="1" applyAlignment="1">
      <protection locked="0"/>
    </xf>
    <xf numFmtId="3" fontId="46" fillId="5" borderId="60" xfId="4" applyNumberFormat="1" applyFont="1" applyFill="1" applyBorder="1" applyAlignment="1">
      <protection locked="0"/>
    </xf>
    <xf numFmtId="3" fontId="30" fillId="7" borderId="40" xfId="2" applyNumberFormat="1" applyFont="1" applyFill="1" applyBorder="1" applyAlignment="1"/>
    <xf numFmtId="3" fontId="30" fillId="5" borderId="44" xfId="4" applyNumberFormat="1" applyFont="1" applyFill="1" applyBorder="1" applyAlignment="1">
      <protection locked="0"/>
    </xf>
    <xf numFmtId="3" fontId="30" fillId="5" borderId="56" xfId="4" applyNumberFormat="1" applyFont="1" applyFill="1" applyBorder="1" applyAlignment="1">
      <protection locked="0"/>
    </xf>
    <xf numFmtId="3" fontId="30" fillId="5" borderId="61" xfId="4" applyNumberFormat="1" applyFont="1" applyFill="1" applyBorder="1" applyAlignment="1">
      <protection locked="0"/>
    </xf>
    <xf numFmtId="3" fontId="30" fillId="0" borderId="5" xfId="4" applyNumberFormat="1" applyFont="1" applyFill="1" applyBorder="1" applyAlignment="1">
      <protection locked="0"/>
    </xf>
    <xf numFmtId="4" fontId="30" fillId="0" borderId="27" xfId="4" applyNumberFormat="1" applyFont="1" applyFill="1" applyBorder="1" applyAlignment="1">
      <protection locked="0"/>
    </xf>
    <xf numFmtId="3" fontId="30" fillId="4" borderId="62" xfId="2" applyNumberFormat="1" applyFont="1" applyFill="1" applyBorder="1" applyAlignment="1"/>
    <xf numFmtId="4" fontId="30" fillId="0" borderId="28" xfId="4" applyNumberFormat="1" applyFont="1" applyFill="1" applyBorder="1" applyAlignment="1">
      <protection locked="0"/>
    </xf>
    <xf numFmtId="0" fontId="30" fillId="4" borderId="41" xfId="2" applyNumberFormat="1" applyFont="1" applyFill="1" applyBorder="1" applyAlignment="1">
      <alignment horizontal="left"/>
    </xf>
    <xf numFmtId="0" fontId="25" fillId="4" borderId="58" xfId="2" applyNumberFormat="1" applyFont="1" applyFill="1" applyBorder="1" applyAlignment="1">
      <alignment horizontal="left"/>
    </xf>
    <xf numFmtId="0" fontId="25" fillId="4" borderId="45" xfId="2" applyNumberFormat="1" applyFont="1" applyFill="1" applyBorder="1" applyAlignment="1">
      <alignment horizontal="left"/>
    </xf>
    <xf numFmtId="49" fontId="30" fillId="5" borderId="13" xfId="4" applyNumberFormat="1" applyFont="1" applyFill="1" applyBorder="1" applyAlignment="1">
      <protection locked="0"/>
    </xf>
    <xf numFmtId="0" fontId="30" fillId="0" borderId="13" xfId="4" applyNumberFormat="1" applyFont="1" applyFill="1" applyBorder="1" applyAlignment="1">
      <protection locked="0"/>
    </xf>
    <xf numFmtId="164" fontId="30" fillId="5" borderId="5" xfId="4" applyNumberFormat="1" applyFont="1" applyFill="1" applyBorder="1" applyAlignment="1">
      <alignment horizontal="center"/>
      <protection locked="0"/>
    </xf>
    <xf numFmtId="2" fontId="49" fillId="4" borderId="63" xfId="2" applyNumberFormat="1" applyFont="1" applyFill="1" applyBorder="1" applyAlignment="1">
      <alignment horizontal="center"/>
    </xf>
    <xf numFmtId="164" fontId="30" fillId="5" borderId="8" xfId="4" applyNumberFormat="1" applyFont="1" applyFill="1" applyBorder="1" applyAlignment="1">
      <alignment horizontal="center"/>
      <protection locked="0"/>
    </xf>
    <xf numFmtId="2" fontId="49" fillId="4" borderId="49" xfId="2" applyNumberFormat="1" applyFont="1" applyFill="1" applyBorder="1" applyAlignment="1">
      <alignment horizontal="center"/>
    </xf>
    <xf numFmtId="3" fontId="49" fillId="4" borderId="13" xfId="2" applyNumberFormat="1" applyFont="1" applyFill="1" applyBorder="1" applyAlignment="1">
      <alignment horizontal="center"/>
    </xf>
    <xf numFmtId="3" fontId="30" fillId="4" borderId="13" xfId="2" applyNumberFormat="1" applyFont="1" applyFill="1" applyBorder="1" applyAlignment="1">
      <alignment horizontal="center"/>
    </xf>
    <xf numFmtId="0" fontId="30" fillId="5" borderId="62" xfId="4" applyNumberFormat="1" applyFont="1" applyFill="1" applyBorder="1" applyAlignment="1">
      <alignment horizontal="center"/>
      <protection locked="0"/>
    </xf>
    <xf numFmtId="0" fontId="30" fillId="5" borderId="66" xfId="4" applyNumberFormat="1" applyFont="1" applyFill="1" applyBorder="1" applyAlignment="1">
      <alignment horizontal="center"/>
      <protection locked="0"/>
    </xf>
    <xf numFmtId="0" fontId="30" fillId="5" borderId="48" xfId="4" applyNumberFormat="1" applyFont="1" applyFill="1" applyBorder="1" applyAlignment="1">
      <alignment horizontal="center"/>
      <protection locked="0"/>
    </xf>
    <xf numFmtId="0" fontId="25" fillId="0" borderId="17" xfId="4" applyNumberFormat="1" applyFont="1" applyFill="1" applyBorder="1" applyAlignment="1">
      <protection locked="0"/>
    </xf>
    <xf numFmtId="0" fontId="30" fillId="5" borderId="17" xfId="4" applyNumberFormat="1" applyFont="1" applyFill="1" applyBorder="1" applyAlignment="1">
      <alignment horizontal="center"/>
      <protection locked="0"/>
    </xf>
    <xf numFmtId="0" fontId="30" fillId="5" borderId="23" xfId="4" applyNumberFormat="1" applyFont="1" applyFill="1" applyBorder="1" applyAlignment="1">
      <alignment horizontal="center"/>
      <protection locked="0"/>
    </xf>
    <xf numFmtId="0" fontId="30" fillId="5" borderId="70" xfId="4" applyNumberFormat="1" applyFont="1" applyFill="1" applyBorder="1" applyAlignment="1">
      <alignment horizontal="center"/>
      <protection locked="0"/>
    </xf>
    <xf numFmtId="0" fontId="30" fillId="3" borderId="50" xfId="2" applyNumberFormat="1" applyFont="1" applyFill="1" applyBorder="1" applyAlignment="1">
      <alignment horizontal="center"/>
    </xf>
    <xf numFmtId="0" fontId="30" fillId="5" borderId="52" xfId="4" applyNumberFormat="1" applyFont="1" applyFill="1" applyBorder="1" applyAlignment="1">
      <alignment horizontal="center"/>
      <protection locked="0"/>
    </xf>
    <xf numFmtId="0" fontId="25" fillId="3" borderId="17" xfId="2" applyNumberFormat="1" applyFont="1" applyFill="1" applyBorder="1" applyAlignment="1"/>
    <xf numFmtId="0" fontId="30" fillId="4" borderId="17" xfId="2" applyNumberFormat="1" applyFont="1" applyFill="1" applyBorder="1" applyAlignment="1">
      <alignment horizontal="center"/>
    </xf>
    <xf numFmtId="0" fontId="30" fillId="5" borderId="5" xfId="4" applyNumberFormat="1" applyFont="1" applyFill="1" applyBorder="1" applyAlignment="1">
      <protection locked="0"/>
    </xf>
    <xf numFmtId="0" fontId="30" fillId="5" borderId="34" xfId="4" applyNumberFormat="1" applyFont="1" applyFill="1" applyBorder="1" applyAlignment="1">
      <protection locked="0"/>
    </xf>
    <xf numFmtId="0" fontId="30" fillId="5" borderId="40" xfId="4" applyNumberFormat="1" applyFont="1" applyFill="1" applyBorder="1" applyAlignment="1">
      <protection locked="0"/>
    </xf>
    <xf numFmtId="0" fontId="30" fillId="5" borderId="57" xfId="4" applyNumberFormat="1" applyFont="1" applyFill="1" applyBorder="1" applyAlignment="1">
      <protection locked="0"/>
    </xf>
    <xf numFmtId="0" fontId="30" fillId="5" borderId="63" xfId="4" applyNumberFormat="1" applyFont="1" applyFill="1" applyBorder="1" applyAlignment="1">
      <protection locked="0"/>
    </xf>
    <xf numFmtId="0" fontId="30" fillId="5" borderId="46" xfId="4" applyNumberFormat="1" applyFont="1" applyFill="1" applyBorder="1" applyAlignment="1">
      <protection locked="0"/>
    </xf>
    <xf numFmtId="0" fontId="30" fillId="4" borderId="48" xfId="2" applyNumberFormat="1" applyFont="1" applyFill="1" applyBorder="1" applyAlignment="1"/>
    <xf numFmtId="0" fontId="30" fillId="4" borderId="62" xfId="2" applyNumberFormat="1" applyFont="1" applyFill="1" applyBorder="1" applyAlignment="1"/>
    <xf numFmtId="0" fontId="30" fillId="4" borderId="63" xfId="2" applyNumberFormat="1" applyFont="1" applyFill="1" applyBorder="1" applyAlignment="1"/>
    <xf numFmtId="0" fontId="30" fillId="4" borderId="57" xfId="2" applyNumberFormat="1" applyFont="1" applyFill="1" applyBorder="1" applyAlignment="1"/>
    <xf numFmtId="164" fontId="30" fillId="5" borderId="62" xfId="4" applyNumberFormat="1" applyFont="1" applyFill="1" applyBorder="1" applyAlignment="1">
      <protection locked="0"/>
    </xf>
    <xf numFmtId="1" fontId="30" fillId="4" borderId="62" xfId="2" applyNumberFormat="1" applyFont="1" applyFill="1" applyBorder="1" applyAlignment="1"/>
    <xf numFmtId="1" fontId="30" fillId="0" borderId="5" xfId="4" applyNumberFormat="1" applyFont="1" applyFill="1" applyBorder="1" applyAlignment="1">
      <protection locked="0"/>
    </xf>
    <xf numFmtId="1" fontId="30" fillId="4" borderId="34" xfId="2" applyNumberFormat="1" applyFont="1" applyFill="1" applyBorder="1" applyAlignment="1"/>
    <xf numFmtId="2" fontId="30" fillId="5" borderId="34" xfId="4" applyNumberFormat="1" applyFont="1" applyFill="1" applyBorder="1" applyAlignment="1">
      <protection locked="0"/>
    </xf>
    <xf numFmtId="0" fontId="30" fillId="5" borderId="14" xfId="4" applyNumberFormat="1" applyFont="1" applyFill="1" applyBorder="1" applyAlignment="1">
      <protection locked="0"/>
    </xf>
    <xf numFmtId="0" fontId="30" fillId="4" borderId="20" xfId="2" applyNumberFormat="1" applyFont="1" applyFill="1" applyBorder="1" applyAlignment="1"/>
    <xf numFmtId="164" fontId="30" fillId="5" borderId="13" xfId="4" applyNumberFormat="1" applyFont="1" applyFill="1" applyBorder="1" applyAlignment="1">
      <protection locked="0"/>
    </xf>
    <xf numFmtId="1" fontId="30" fillId="0" borderId="34" xfId="4" applyNumberFormat="1" applyFont="1" applyFill="1" applyBorder="1" applyAlignment="1">
      <protection locked="0"/>
    </xf>
    <xf numFmtId="2" fontId="30" fillId="5" borderId="13" xfId="4" applyNumberFormat="1" applyFont="1" applyFill="1" applyBorder="1" applyAlignment="1">
      <protection locked="0"/>
    </xf>
    <xf numFmtId="0" fontId="30" fillId="5" borderId="36" xfId="4" applyNumberFormat="1" applyFont="1" applyFill="1" applyBorder="1" applyAlignment="1">
      <protection locked="0"/>
    </xf>
    <xf numFmtId="0" fontId="30" fillId="5" borderId="72" xfId="4" applyNumberFormat="1" applyFont="1" applyFill="1" applyBorder="1" applyAlignment="1">
      <protection locked="0"/>
    </xf>
    <xf numFmtId="0" fontId="30" fillId="5" borderId="75" xfId="4" applyNumberFormat="1" applyFont="1" applyFill="1" applyBorder="1" applyAlignment="1">
      <protection locked="0"/>
    </xf>
    <xf numFmtId="0" fontId="30" fillId="5" borderId="60" xfId="4" applyNumberFormat="1" applyFont="1" applyFill="1" applyBorder="1" applyAlignment="1">
      <protection locked="0"/>
    </xf>
    <xf numFmtId="0" fontId="30" fillId="5" borderId="56" xfId="4" applyNumberFormat="1" applyFont="1" applyFill="1" applyBorder="1" applyAlignment="1">
      <protection locked="0"/>
    </xf>
    <xf numFmtId="0" fontId="30" fillId="5" borderId="44" xfId="4" applyNumberFormat="1" applyFont="1" applyFill="1" applyBorder="1" applyAlignment="1">
      <protection locked="0"/>
    </xf>
    <xf numFmtId="0" fontId="30" fillId="5" borderId="61" xfId="4" applyNumberFormat="1" applyFont="1" applyFill="1" applyBorder="1" applyAlignment="1">
      <protection locked="0"/>
    </xf>
    <xf numFmtId="0" fontId="30" fillId="5" borderId="7" xfId="4" applyNumberFormat="1" applyFont="1" applyFill="1" applyBorder="1" applyAlignment="1">
      <protection locked="0"/>
    </xf>
    <xf numFmtId="1" fontId="30" fillId="0" borderId="56" xfId="4" applyNumberFormat="1" applyFont="1" applyFill="1" applyBorder="1" applyAlignment="1">
      <protection locked="0"/>
    </xf>
    <xf numFmtId="2" fontId="30" fillId="5" borderId="36" xfId="4" applyNumberFormat="1" applyFont="1" applyFill="1" applyBorder="1" applyAlignment="1">
      <protection locked="0"/>
    </xf>
    <xf numFmtId="1" fontId="30" fillId="5" borderId="56" xfId="4" applyNumberFormat="1" applyFont="1" applyFill="1" applyBorder="1" applyAlignment="1">
      <protection locked="0"/>
    </xf>
    <xf numFmtId="0" fontId="30" fillId="4" borderId="56" xfId="2" applyNumberFormat="1" applyFont="1" applyFill="1" applyBorder="1" applyAlignment="1"/>
    <xf numFmtId="1" fontId="30" fillId="0" borderId="57" xfId="4" applyNumberFormat="1" applyFont="1" applyFill="1" applyBorder="1" applyAlignment="1">
      <protection locked="0"/>
    </xf>
    <xf numFmtId="1" fontId="30" fillId="0" borderId="44" xfId="4" applyNumberFormat="1" applyFont="1" applyFill="1" applyBorder="1" applyAlignment="1">
      <protection locked="0"/>
    </xf>
    <xf numFmtId="0" fontId="30" fillId="5" borderId="8" xfId="4" applyNumberFormat="1" applyFont="1" applyFill="1" applyBorder="1" applyAlignment="1">
      <protection locked="0"/>
    </xf>
    <xf numFmtId="0" fontId="30" fillId="5" borderId="47" xfId="4" applyNumberFormat="1" applyFont="1" applyFill="1" applyBorder="1" applyAlignment="1">
      <protection locked="0"/>
    </xf>
    <xf numFmtId="0" fontId="30" fillId="5" borderId="35" xfId="4" applyNumberFormat="1" applyFont="1" applyFill="1" applyBorder="1" applyAlignment="1">
      <protection locked="0"/>
    </xf>
    <xf numFmtId="0" fontId="30" fillId="7" borderId="57" xfId="2" applyNumberFormat="1" applyFont="1" applyFill="1" applyBorder="1" applyAlignment="1"/>
    <xf numFmtId="0" fontId="30" fillId="7" borderId="34" xfId="2" applyNumberFormat="1" applyFont="1" applyFill="1" applyBorder="1" applyAlignment="1"/>
    <xf numFmtId="0" fontId="30" fillId="7" borderId="49" xfId="2" applyNumberFormat="1" applyFont="1" applyFill="1" applyBorder="1" applyAlignment="1"/>
    <xf numFmtId="0" fontId="30" fillId="7" borderId="12" xfId="2" applyNumberFormat="1" applyFont="1" applyFill="1" applyBorder="1" applyAlignment="1"/>
    <xf numFmtId="0" fontId="30" fillId="7" borderId="8" xfId="2" applyNumberFormat="1" applyFont="1" applyFill="1" applyBorder="1" applyAlignment="1"/>
    <xf numFmtId="0" fontId="30" fillId="7" borderId="56" xfId="2" applyNumberFormat="1" applyFont="1" applyFill="1" applyBorder="1" applyAlignment="1"/>
    <xf numFmtId="164" fontId="30" fillId="5" borderId="9" xfId="4" applyNumberFormat="1" applyFont="1" applyFill="1" applyBorder="1" applyAlignment="1">
      <protection locked="0"/>
    </xf>
    <xf numFmtId="1" fontId="30" fillId="7" borderId="56" xfId="2" applyNumberFormat="1" applyFont="1" applyFill="1" applyBorder="1" applyAlignment="1"/>
    <xf numFmtId="1" fontId="30" fillId="0" borderId="8" xfId="4" applyNumberFormat="1" applyFont="1" applyFill="1" applyBorder="1" applyAlignment="1">
      <protection locked="0"/>
    </xf>
    <xf numFmtId="0" fontId="30" fillId="7" borderId="40" xfId="2" applyNumberFormat="1" applyFont="1" applyFill="1" applyBorder="1" applyAlignment="1"/>
    <xf numFmtId="1" fontId="30" fillId="7" borderId="8" xfId="2" applyNumberFormat="1" applyFont="1" applyFill="1" applyBorder="1" applyAlignment="1"/>
    <xf numFmtId="2" fontId="30" fillId="5" borderId="8" xfId="4" applyNumberFormat="1" applyFont="1" applyFill="1" applyBorder="1" applyAlignment="1">
      <protection locked="0"/>
    </xf>
    <xf numFmtId="1" fontId="30" fillId="5" borderId="8" xfId="4" applyNumberFormat="1" applyFont="1" applyFill="1" applyBorder="1" applyAlignment="1">
      <protection locked="0"/>
    </xf>
    <xf numFmtId="0" fontId="36" fillId="3" borderId="0" xfId="2" applyNumberFormat="1" applyFont="1" applyFill="1" applyBorder="1" applyAlignment="1"/>
    <xf numFmtId="0" fontId="28" fillId="3" borderId="33" xfId="2" applyNumberFormat="1" applyFont="1" applyFill="1" applyBorder="1" applyAlignment="1">
      <alignment horizontal="left"/>
    </xf>
    <xf numFmtId="0" fontId="25" fillId="3" borderId="52" xfId="2" applyNumberFormat="1" applyFont="1" applyFill="1" applyBorder="1" applyAlignment="1"/>
    <xf numFmtId="0" fontId="25" fillId="3" borderId="37" xfId="2" applyNumberFormat="1" applyFont="1" applyFill="1" applyBorder="1" applyAlignment="1"/>
    <xf numFmtId="0" fontId="25" fillId="3" borderId="22" xfId="2" applyNumberFormat="1" applyFont="1" applyFill="1" applyBorder="1" applyAlignment="1"/>
    <xf numFmtId="0" fontId="38" fillId="3" borderId="17" xfId="2" applyNumberFormat="1" applyFont="1" applyFill="1" applyBorder="1" applyAlignment="1">
      <alignment horizontal="center"/>
    </xf>
    <xf numFmtId="0" fontId="38" fillId="3" borderId="50" xfId="2" applyNumberFormat="1" applyFont="1" applyFill="1" applyBorder="1" applyAlignment="1">
      <alignment horizontal="center"/>
    </xf>
    <xf numFmtId="0" fontId="28" fillId="3" borderId="21" xfId="2" applyNumberFormat="1" applyFont="1" applyFill="1" applyBorder="1" applyAlignment="1">
      <alignment horizontal="right"/>
    </xf>
    <xf numFmtId="164" fontId="28" fillId="4" borderId="34" xfId="2" applyNumberFormat="1" applyFont="1" applyFill="1" applyBorder="1" applyAlignment="1"/>
    <xf numFmtId="164" fontId="28" fillId="4" borderId="40" xfId="2" applyNumberFormat="1" applyFont="1" applyFill="1" applyBorder="1" applyAlignment="1"/>
    <xf numFmtId="164" fontId="28" fillId="4" borderId="13" xfId="2" applyNumberFormat="1" applyFont="1" applyFill="1" applyBorder="1" applyAlignment="1"/>
    <xf numFmtId="0" fontId="28" fillId="3" borderId="1" xfId="2" applyNumberFormat="1" applyFont="1" applyFill="1" applyBorder="1" applyAlignment="1">
      <alignment horizontal="right"/>
    </xf>
    <xf numFmtId="164" fontId="28" fillId="4" borderId="8" xfId="2" applyNumberFormat="1" applyFont="1" applyFill="1" applyBorder="1" applyAlignment="1"/>
    <xf numFmtId="164" fontId="28" fillId="4" borderId="35" xfId="2" applyNumberFormat="1" applyFont="1" applyFill="1" applyBorder="1" applyAlignment="1"/>
    <xf numFmtId="164" fontId="28" fillId="4" borderId="29" xfId="2" applyNumberFormat="1" applyFont="1" applyFill="1" applyBorder="1" applyAlignment="1"/>
    <xf numFmtId="0" fontId="28" fillId="3" borderId="0" xfId="2" applyNumberFormat="1" applyFont="1" applyFill="1" applyBorder="1" applyAlignment="1">
      <alignment horizontal="left"/>
    </xf>
    <xf numFmtId="0" fontId="30" fillId="3" borderId="23" xfId="2" applyNumberFormat="1" applyFont="1" applyFill="1" applyBorder="1" applyAlignment="1"/>
    <xf numFmtId="0" fontId="30" fillId="3" borderId="48" xfId="2" applyNumberFormat="1" applyFont="1" applyFill="1" applyBorder="1" applyAlignment="1"/>
    <xf numFmtId="0" fontId="30" fillId="4" borderId="5" xfId="2" applyNumberFormat="1" applyFont="1" applyFill="1" applyBorder="1" applyAlignment="1">
      <alignment horizontal="center"/>
    </xf>
    <xf numFmtId="0" fontId="30" fillId="3" borderId="2" xfId="2" applyNumberFormat="1" applyFont="1" applyFill="1" applyBorder="1" applyAlignment="1"/>
    <xf numFmtId="0" fontId="30" fillId="3" borderId="10" xfId="2" applyNumberFormat="1" applyFont="1" applyFill="1" applyBorder="1" applyAlignment="1"/>
    <xf numFmtId="0" fontId="30" fillId="4" borderId="8" xfId="2" applyNumberFormat="1" applyFont="1" applyFill="1" applyBorder="1" applyAlignment="1">
      <alignment horizontal="center"/>
    </xf>
    <xf numFmtId="0" fontId="49" fillId="5" borderId="41" xfId="4" applyNumberFormat="1" applyFont="1" applyFill="1" applyBorder="1" applyAlignment="1">
      <alignment horizontal="left"/>
      <protection locked="0"/>
    </xf>
    <xf numFmtId="0" fontId="89" fillId="0" borderId="58" xfId="4" applyNumberFormat="1" applyFont="1" applyFill="1" applyBorder="1" applyAlignment="1">
      <alignment horizontal="left"/>
      <protection locked="0"/>
    </xf>
    <xf numFmtId="0" fontId="89" fillId="0" borderId="45" xfId="4" applyNumberFormat="1" applyFont="1" applyFill="1" applyBorder="1" applyAlignment="1">
      <alignment horizontal="left"/>
      <protection locked="0"/>
    </xf>
    <xf numFmtId="0" fontId="7" fillId="3" borderId="0" xfId="2" applyNumberFormat="1" applyFont="1" applyFill="1" applyBorder="1" applyAlignment="1">
      <alignment horizontal="left"/>
    </xf>
    <xf numFmtId="0" fontId="30" fillId="0" borderId="71" xfId="4" applyNumberFormat="1" applyFont="1" applyFill="1" applyBorder="1" applyAlignment="1">
      <alignment wrapText="1"/>
      <protection locked="0"/>
    </xf>
    <xf numFmtId="0" fontId="30" fillId="0" borderId="73" xfId="4" applyNumberFormat="1" applyFont="1" applyFill="1" applyBorder="1" applyAlignment="1">
      <alignment wrapText="1"/>
      <protection locked="0"/>
    </xf>
    <xf numFmtId="0" fontId="30" fillId="0" borderId="32" xfId="4" applyNumberFormat="1" applyFont="1" applyFill="1" applyBorder="1" applyAlignment="1">
      <alignment wrapText="1"/>
      <protection locked="0"/>
    </xf>
    <xf numFmtId="0" fontId="49" fillId="0" borderId="41" xfId="4" applyNumberFormat="1" applyFont="1" applyFill="1" applyBorder="1" applyAlignment="1">
      <alignment horizontal="left"/>
      <protection locked="0"/>
    </xf>
    <xf numFmtId="0" fontId="49" fillId="0" borderId="58" xfId="4" applyNumberFormat="1" applyFont="1" applyFill="1" applyBorder="1" applyAlignment="1">
      <alignment horizontal="left"/>
      <protection locked="0"/>
    </xf>
    <xf numFmtId="0" fontId="49" fillId="0" borderId="45" xfId="4" applyNumberFormat="1" applyFont="1" applyFill="1" applyBorder="1" applyAlignment="1">
      <alignment horizontal="left"/>
      <protection locked="0"/>
    </xf>
    <xf numFmtId="0" fontId="58" fillId="3" borderId="0" xfId="2" applyNumberFormat="1" applyFont="1" applyFill="1" applyBorder="1" applyAlignment="1">
      <alignment wrapText="1"/>
    </xf>
    <xf numFmtId="0" fontId="0" fillId="0" borderId="0" xfId="2" applyNumberFormat="1" applyFont="1" applyFill="1" applyBorder="1" applyAlignment="1">
      <alignment wrapText="1"/>
    </xf>
    <xf numFmtId="0" fontId="50" fillId="10" borderId="33" xfId="2" applyNumberFormat="1" applyFont="1" applyFill="1" applyBorder="1" applyAlignment="1">
      <alignment vertical="center" wrapText="1"/>
    </xf>
    <xf numFmtId="0" fontId="50" fillId="10" borderId="52" xfId="2" applyNumberFormat="1" applyFont="1" applyFill="1" applyBorder="1" applyAlignment="1">
      <alignment vertical="center" wrapText="1"/>
    </xf>
    <xf numFmtId="0" fontId="0" fillId="0" borderId="37" xfId="2" applyNumberFormat="1" applyFont="1" applyFill="1" applyBorder="1" applyAlignment="1">
      <alignment wrapText="1"/>
    </xf>
    <xf numFmtId="0" fontId="49" fillId="4" borderId="33" xfId="2" applyNumberFormat="1" applyFont="1" applyFill="1" applyBorder="1" applyAlignment="1">
      <alignment horizontal="center" vertical="center"/>
    </xf>
    <xf numFmtId="0" fontId="7" fillId="4" borderId="37" xfId="2" applyNumberFormat="1" applyFont="1" applyFill="1" applyBorder="1" applyAlignment="1">
      <alignment horizontal="center" vertical="center"/>
    </xf>
    <xf numFmtId="0" fontId="32" fillId="3" borderId="30" xfId="2" applyNumberFormat="1" applyFont="1" applyFill="1" applyBorder="1" applyAlignment="1">
      <alignment horizontal="center"/>
    </xf>
    <xf numFmtId="0" fontId="0" fillId="0" borderId="24" xfId="2" applyNumberFormat="1" applyFont="1" applyFill="1" applyBorder="1" applyAlignment="1">
      <alignment horizontal="center"/>
    </xf>
    <xf numFmtId="0" fontId="28" fillId="3" borderId="73" xfId="2" applyNumberFormat="1" applyFont="1" applyFill="1" applyBorder="1" applyAlignment="1">
      <alignment horizontal="center" vertical="center" wrapText="1"/>
    </xf>
    <xf numFmtId="0" fontId="28" fillId="3" borderId="32" xfId="2" applyNumberFormat="1" applyFont="1" applyFill="1" applyBorder="1" applyAlignment="1">
      <alignment horizontal="center" vertical="center" wrapText="1"/>
    </xf>
    <xf numFmtId="0" fontId="32" fillId="3" borderId="6" xfId="2" applyNumberFormat="1" applyFont="1" applyFill="1" applyBorder="1" applyAlignment="1">
      <alignment horizontal="center" vertical="center" wrapText="1"/>
    </xf>
    <xf numFmtId="0" fontId="32" fillId="3" borderId="0" xfId="2" applyNumberFormat="1" applyFont="1" applyFill="1" applyBorder="1" applyAlignment="1">
      <alignment horizontal="center" vertical="center" wrapText="1"/>
    </xf>
    <xf numFmtId="0" fontId="32" fillId="3" borderId="7" xfId="2" applyNumberFormat="1" applyFont="1" applyFill="1" applyBorder="1" applyAlignment="1">
      <alignment horizontal="center" vertical="center" wrapText="1"/>
    </xf>
    <xf numFmtId="0" fontId="49" fillId="0" borderId="71" xfId="4" applyNumberFormat="1" applyFont="1" applyFill="1" applyBorder="1" applyAlignment="1">
      <alignment horizontal="left" vertical="top" wrapText="1"/>
      <protection locked="0"/>
    </xf>
    <xf numFmtId="0" fontId="30" fillId="0" borderId="73" xfId="4" applyNumberFormat="1" applyFont="1" applyFill="1" applyBorder="1" applyAlignment="1">
      <alignment horizontal="left" vertical="top" wrapText="1"/>
      <protection locked="0"/>
    </xf>
    <xf numFmtId="0" fontId="30" fillId="0" borderId="7" xfId="4" applyNumberFormat="1" applyFont="1" applyFill="1" applyBorder="1" applyAlignment="1">
      <alignment horizontal="left" vertical="top" wrapText="1"/>
      <protection locked="0"/>
    </xf>
    <xf numFmtId="0" fontId="30" fillId="0" borderId="4" xfId="4" applyNumberFormat="1" applyFont="1" applyFill="1" applyBorder="1" applyAlignment="1">
      <alignment horizontal="left" vertical="top" wrapText="1"/>
      <protection locked="0"/>
    </xf>
    <xf numFmtId="0" fontId="0" fillId="4" borderId="52" xfId="2" applyNumberFormat="1" applyFont="1" applyFill="1" applyBorder="1" applyAlignment="1">
      <alignment horizontal="center" vertical="center"/>
    </xf>
    <xf numFmtId="0" fontId="28" fillId="3" borderId="6" xfId="2" applyNumberFormat="1" applyFont="1" applyFill="1" applyBorder="1" applyAlignment="1">
      <alignment horizontal="center" vertical="center" wrapText="1"/>
    </xf>
    <xf numFmtId="0" fontId="28" fillId="0" borderId="6" xfId="2" applyNumberFormat="1" applyFont="1" applyFill="1" applyBorder="1" applyAlignment="1">
      <alignment horizontal="center" vertical="center" wrapText="1"/>
    </xf>
    <xf numFmtId="0" fontId="0" fillId="0" borderId="73" xfId="2" applyNumberFormat="1" applyFont="1" applyFill="1" applyBorder="1" applyAlignment="1">
      <alignment wrapText="1"/>
    </xf>
    <xf numFmtId="0" fontId="38" fillId="3" borderId="73" xfId="2" applyNumberFormat="1" applyFont="1" applyFill="1" applyBorder="1" applyAlignment="1">
      <alignment horizontal="center" vertical="center" wrapText="1"/>
    </xf>
    <xf numFmtId="0" fontId="0" fillId="0" borderId="73" xfId="2" applyNumberFormat="1" applyFont="1" applyFill="1" applyBorder="1" applyAlignment="1"/>
    <xf numFmtId="0" fontId="32" fillId="3" borderId="30" xfId="2" applyNumberFormat="1" applyFont="1" applyFill="1" applyBorder="1" applyAlignment="1">
      <alignment horizontal="center" vertical="center" wrapText="1"/>
    </xf>
    <xf numFmtId="0" fontId="32" fillId="3" borderId="23" xfId="2" applyNumberFormat="1" applyFont="1" applyFill="1" applyBorder="1" applyAlignment="1">
      <alignment horizontal="center" vertical="center" wrapText="1"/>
    </xf>
    <xf numFmtId="0" fontId="32" fillId="3" borderId="24" xfId="2" applyNumberFormat="1" applyFont="1" applyFill="1" applyBorder="1" applyAlignment="1">
      <alignment horizontal="center" vertical="center" wrapText="1"/>
    </xf>
    <xf numFmtId="0" fontId="46" fillId="0" borderId="73" xfId="4" applyNumberFormat="1" applyFont="1" applyFill="1" applyBorder="1" applyAlignment="1">
      <alignment horizontal="left" vertical="top" wrapText="1"/>
      <protection locked="0"/>
    </xf>
    <xf numFmtId="0" fontId="46" fillId="0" borderId="32" xfId="4" applyNumberFormat="1" applyFont="1" applyFill="1" applyBorder="1" applyAlignment="1">
      <alignment horizontal="left" vertical="top" wrapText="1"/>
      <protection locked="0"/>
    </xf>
    <xf numFmtId="0" fontId="28" fillId="3" borderId="33" xfId="2" applyNumberFormat="1" applyFont="1" applyFill="1" applyBorder="1" applyAlignment="1">
      <alignment vertical="center" wrapText="1"/>
    </xf>
    <xf numFmtId="0" fontId="28" fillId="3" borderId="52" xfId="2" applyNumberFormat="1" applyFont="1" applyFill="1" applyBorder="1" applyAlignment="1">
      <alignment vertical="center" wrapText="1"/>
    </xf>
    <xf numFmtId="0" fontId="28" fillId="3" borderId="70" xfId="2" applyNumberFormat="1" applyFont="1" applyFill="1" applyBorder="1" applyAlignment="1">
      <alignment vertical="center" wrapText="1"/>
    </xf>
    <xf numFmtId="0" fontId="30" fillId="3" borderId="33" xfId="2" applyNumberFormat="1" applyFont="1" applyFill="1" applyBorder="1" applyAlignment="1">
      <alignment horizontal="right" vertical="center" wrapText="1"/>
    </xf>
    <xf numFmtId="0" fontId="30" fillId="3" borderId="52" xfId="2" applyNumberFormat="1" applyFont="1" applyFill="1" applyBorder="1" applyAlignment="1">
      <alignment horizontal="right" vertical="center" wrapText="1"/>
    </xf>
    <xf numFmtId="0" fontId="30" fillId="3" borderId="70" xfId="2" applyNumberFormat="1" applyFont="1" applyFill="1" applyBorder="1" applyAlignment="1">
      <alignment horizontal="right" vertical="center" wrapText="1"/>
    </xf>
    <xf numFmtId="0" fontId="28" fillId="3" borderId="66" xfId="2" applyNumberFormat="1" applyFont="1" applyFill="1" applyBorder="1" applyAlignment="1">
      <alignment vertical="top" wrapText="1"/>
    </xf>
    <xf numFmtId="0" fontId="25" fillId="0" borderId="49" xfId="2" applyNumberFormat="1" applyFont="1" applyFill="1" applyBorder="1" applyAlignment="1">
      <alignment wrapText="1"/>
    </xf>
    <xf numFmtId="0" fontId="28" fillId="3" borderId="66" xfId="2" applyNumberFormat="1" applyFont="1" applyFill="1" applyBorder="1" applyAlignment="1">
      <alignment horizontal="center" vertical="top" wrapText="1"/>
    </xf>
    <xf numFmtId="0" fontId="25" fillId="0" borderId="49" xfId="2" applyNumberFormat="1" applyFont="1" applyFill="1" applyBorder="1" applyAlignment="1">
      <alignment horizontal="center" wrapText="1"/>
    </xf>
    <xf numFmtId="0" fontId="30" fillId="3" borderId="33" xfId="2" applyNumberFormat="1" applyFont="1" applyFill="1" applyBorder="1" applyAlignment="1">
      <alignment horizontal="left" vertical="center" wrapText="1"/>
    </xf>
    <xf numFmtId="0" fontId="30" fillId="3" borderId="52" xfId="2" applyNumberFormat="1" applyFont="1" applyFill="1" applyBorder="1" applyAlignment="1">
      <alignment horizontal="left" vertical="center" wrapText="1"/>
    </xf>
    <xf numFmtId="0" fontId="30" fillId="3" borderId="70" xfId="2" applyNumberFormat="1" applyFont="1" applyFill="1" applyBorder="1" applyAlignment="1">
      <alignment horizontal="left" vertical="center" wrapText="1"/>
    </xf>
    <xf numFmtId="0" fontId="30" fillId="3" borderId="33" xfId="2" applyNumberFormat="1" applyFont="1" applyFill="1" applyBorder="1" applyAlignment="1">
      <alignment vertical="center" wrapText="1"/>
    </xf>
    <xf numFmtId="0" fontId="30" fillId="3" borderId="52" xfId="2" applyNumberFormat="1" applyFont="1" applyFill="1" applyBorder="1" applyAlignment="1">
      <alignment vertical="center" wrapText="1"/>
    </xf>
    <xf numFmtId="0" fontId="30" fillId="3" borderId="70" xfId="2" applyNumberFormat="1" applyFont="1" applyFill="1" applyBorder="1" applyAlignment="1">
      <alignment vertical="center" wrapText="1"/>
    </xf>
    <xf numFmtId="0" fontId="28" fillId="3" borderId="62" xfId="2" applyNumberFormat="1" applyFont="1" applyFill="1" applyBorder="1" applyAlignment="1">
      <alignment horizontal="center" vertical="top" wrapText="1"/>
    </xf>
    <xf numFmtId="0" fontId="25" fillId="0" borderId="9" xfId="2" applyNumberFormat="1" applyFont="1" applyFill="1" applyBorder="1" applyAlignment="1">
      <alignment vertical="top" wrapText="1"/>
    </xf>
    <xf numFmtId="0" fontId="25" fillId="0" borderId="9" xfId="2" applyNumberFormat="1" applyFont="1" applyFill="1" applyBorder="1" applyAlignment="1">
      <alignment horizontal="center" vertical="top" wrapText="1"/>
    </xf>
    <xf numFmtId="0" fontId="50" fillId="10" borderId="33" xfId="2" applyNumberFormat="1" applyFont="1" applyFill="1" applyBorder="1" applyAlignment="1">
      <alignment vertical="center"/>
    </xf>
    <xf numFmtId="0" fontId="0" fillId="0" borderId="52" xfId="2" applyNumberFormat="1" applyFont="1" applyFill="1" applyBorder="1" applyAlignment="1"/>
    <xf numFmtId="0" fontId="0" fillId="0" borderId="37" xfId="2" applyNumberFormat="1" applyFont="1" applyFill="1" applyBorder="1" applyAlignment="1"/>
    <xf numFmtId="0" fontId="27" fillId="3" borderId="23" xfId="2" applyNumberFormat="1" applyFont="1" applyFill="1" applyBorder="1" applyAlignment="1">
      <alignment horizontal="center"/>
    </xf>
    <xf numFmtId="0" fontId="0" fillId="0" borderId="23" xfId="2" applyNumberFormat="1" applyFont="1" applyFill="1" applyBorder="1" applyAlignment="1">
      <alignment horizontal="center"/>
    </xf>
    <xf numFmtId="0" fontId="28" fillId="3" borderId="30" xfId="2" applyNumberFormat="1" applyFont="1" applyFill="1" applyBorder="1" applyAlignment="1">
      <alignment horizontal="right" vertical="center"/>
    </xf>
    <xf numFmtId="0" fontId="28" fillId="3" borderId="23" xfId="2" applyNumberFormat="1" applyFont="1" applyFill="1" applyBorder="1" applyAlignment="1">
      <alignment horizontal="right" vertical="center"/>
    </xf>
    <xf numFmtId="0" fontId="28" fillId="3" borderId="48" xfId="2" applyNumberFormat="1" applyFont="1" applyFill="1" applyBorder="1" applyAlignment="1">
      <alignment horizontal="right" vertical="center"/>
    </xf>
    <xf numFmtId="0" fontId="28" fillId="3" borderId="1" xfId="2" applyNumberFormat="1" applyFont="1" applyFill="1" applyBorder="1" applyAlignment="1"/>
    <xf numFmtId="0" fontId="28" fillId="3" borderId="2" xfId="2" applyNumberFormat="1" applyFont="1" applyFill="1" applyBorder="1" applyAlignment="1"/>
    <xf numFmtId="0" fontId="28" fillId="3" borderId="10" xfId="2" applyNumberFormat="1" applyFont="1" applyFill="1" applyBorder="1" applyAlignment="1"/>
    <xf numFmtId="0" fontId="30" fillId="0" borderId="41" xfId="4" applyNumberFormat="1" applyFont="1" applyFill="1" applyBorder="1" applyAlignment="1">
      <alignment horizontal="center" wrapText="1"/>
      <protection locked="0"/>
    </xf>
    <xf numFmtId="0" fontId="30" fillId="0" borderId="58" xfId="4" applyNumberFormat="1" applyFont="1" applyFill="1" applyBorder="1" applyAlignment="1">
      <alignment horizontal="center" wrapText="1"/>
      <protection locked="0"/>
    </xf>
    <xf numFmtId="0" fontId="30" fillId="0" borderId="45" xfId="4" applyNumberFormat="1" applyFont="1" applyFill="1" applyBorder="1" applyAlignment="1">
      <alignment horizontal="center" wrapText="1"/>
      <protection locked="0"/>
    </xf>
    <xf numFmtId="0" fontId="30" fillId="0" borderId="67" xfId="4" applyNumberFormat="1" applyFont="1" applyFill="1" applyBorder="1" applyAlignment="1">
      <alignment horizontal="center" vertical="center" wrapText="1"/>
      <protection locked="0"/>
    </xf>
    <xf numFmtId="0" fontId="0" fillId="0" borderId="52" xfId="4" applyNumberFormat="1" applyFont="1" applyFill="1" applyBorder="1" applyAlignment="1">
      <alignment horizontal="center" wrapText="1"/>
      <protection locked="0"/>
    </xf>
    <xf numFmtId="0" fontId="0" fillId="0" borderId="37" xfId="4" applyNumberFormat="1" applyFont="1" applyFill="1" applyBorder="1" applyAlignment="1">
      <alignment horizontal="center" wrapText="1"/>
      <protection locked="0"/>
    </xf>
    <xf numFmtId="0" fontId="23" fillId="3" borderId="33" xfId="2" applyNumberFormat="1" applyFont="1" applyFill="1" applyBorder="1" applyAlignment="1">
      <alignment horizontal="right" vertical="center" wrapText="1"/>
    </xf>
    <xf numFmtId="0" fontId="23" fillId="3" borderId="52" xfId="2" applyNumberFormat="1" applyFont="1" applyFill="1" applyBorder="1" applyAlignment="1">
      <alignment horizontal="right" vertical="center" wrapText="1"/>
    </xf>
    <xf numFmtId="0" fontId="23" fillId="3" borderId="70" xfId="2" applyNumberFormat="1" applyFont="1" applyFill="1" applyBorder="1" applyAlignment="1">
      <alignment horizontal="right" vertical="center" wrapText="1"/>
    </xf>
    <xf numFmtId="0" fontId="30" fillId="3" borderId="42" xfId="2" applyNumberFormat="1" applyFont="1" applyFill="1" applyBorder="1" applyAlignment="1">
      <alignment vertical="center" wrapText="1"/>
    </xf>
    <xf numFmtId="0" fontId="30" fillId="3" borderId="68" xfId="2" applyNumberFormat="1" applyFont="1" applyFill="1" applyBorder="1" applyAlignment="1">
      <alignment vertical="center" wrapText="1"/>
    </xf>
    <xf numFmtId="0" fontId="30" fillId="3" borderId="42" xfId="2" applyNumberFormat="1" applyFont="1" applyFill="1" applyBorder="1" applyAlignment="1">
      <alignment horizontal="right" vertical="center" wrapText="1"/>
    </xf>
    <xf numFmtId="0" fontId="30" fillId="3" borderId="68" xfId="2" applyNumberFormat="1" applyFont="1" applyFill="1" applyBorder="1" applyAlignment="1">
      <alignment horizontal="right" vertical="center" wrapText="1"/>
    </xf>
    <xf numFmtId="0" fontId="50" fillId="10" borderId="37" xfId="2" applyNumberFormat="1" applyFont="1" applyFill="1" applyBorder="1" applyAlignment="1">
      <alignment vertical="center" wrapText="1"/>
    </xf>
    <xf numFmtId="0" fontId="28" fillId="3" borderId="37" xfId="2" applyNumberFormat="1" applyFont="1" applyFill="1" applyBorder="1" applyAlignment="1">
      <alignment vertical="center" wrapText="1"/>
    </xf>
    <xf numFmtId="0" fontId="30" fillId="3" borderId="25" xfId="2" applyNumberFormat="1" applyFont="1" applyFill="1" applyBorder="1" applyAlignment="1">
      <alignment vertical="center" wrapText="1"/>
    </xf>
    <xf numFmtId="0" fontId="30" fillId="3" borderId="26" xfId="2" applyNumberFormat="1" applyFont="1" applyFill="1" applyBorder="1" applyAlignment="1">
      <alignment vertical="center" wrapText="1"/>
    </xf>
    <xf numFmtId="0" fontId="30" fillId="3" borderId="53" xfId="2" applyNumberFormat="1" applyFont="1" applyFill="1" applyBorder="1" applyAlignment="1">
      <alignment horizontal="right" vertical="center" wrapText="1"/>
    </xf>
    <xf numFmtId="0" fontId="30" fillId="3" borderId="3" xfId="2" applyNumberFormat="1" applyFont="1" applyFill="1" applyBorder="1" applyAlignment="1">
      <alignment horizontal="right" vertical="center" wrapText="1"/>
    </xf>
    <xf numFmtId="0" fontId="30" fillId="3" borderId="43" xfId="2" applyNumberFormat="1" applyFont="1" applyFill="1" applyBorder="1" applyAlignment="1">
      <alignment vertical="center" wrapText="1"/>
    </xf>
    <xf numFmtId="0" fontId="30" fillId="3" borderId="69" xfId="2" applyNumberFormat="1" applyFont="1" applyFill="1" applyBorder="1" applyAlignment="1">
      <alignment vertical="center" wrapText="1"/>
    </xf>
    <xf numFmtId="0" fontId="30" fillId="3" borderId="11" xfId="2" applyNumberFormat="1" applyFont="1" applyFill="1" applyBorder="1" applyAlignment="1">
      <alignment horizontal="right" vertical="center" wrapText="1"/>
    </xf>
    <xf numFmtId="0" fontId="30" fillId="3" borderId="18" xfId="2" applyNumberFormat="1" applyFont="1" applyFill="1" applyBorder="1" applyAlignment="1">
      <alignment horizontal="right" vertical="center" wrapText="1"/>
    </xf>
    <xf numFmtId="0" fontId="30" fillId="3" borderId="12" xfId="2" applyNumberFormat="1" applyFont="1" applyFill="1" applyBorder="1" applyAlignment="1">
      <alignment horizontal="right" vertical="center" wrapText="1"/>
    </xf>
    <xf numFmtId="0" fontId="30" fillId="3" borderId="38" xfId="2" applyNumberFormat="1" applyFont="1" applyFill="1" applyBorder="1" applyAlignment="1">
      <alignment horizontal="right" vertical="center" wrapText="1"/>
    </xf>
    <xf numFmtId="0" fontId="0" fillId="0" borderId="37" xfId="2" applyNumberFormat="1" applyFont="1" applyFill="1" applyBorder="1" applyAlignment="1">
      <alignment vertical="center" wrapText="1"/>
    </xf>
    <xf numFmtId="0" fontId="45" fillId="3" borderId="33" xfId="2" applyNumberFormat="1" applyFont="1" applyFill="1" applyBorder="1" applyAlignment="1">
      <alignment horizontal="center" vertical="center" wrapText="1"/>
    </xf>
    <xf numFmtId="0" fontId="68" fillId="3" borderId="52" xfId="2" applyNumberFormat="1" applyFont="1" applyFill="1" applyBorder="1" applyAlignment="1">
      <alignment horizontal="center" vertical="center" wrapText="1"/>
    </xf>
    <xf numFmtId="0" fontId="68" fillId="3" borderId="37" xfId="2" applyNumberFormat="1" applyFont="1" applyFill="1" applyBorder="1" applyAlignment="1">
      <alignment horizontal="center" vertical="center" wrapText="1"/>
    </xf>
    <xf numFmtId="0" fontId="30" fillId="5" borderId="42" xfId="4" applyNumberFormat="1" applyFont="1" applyFill="1" applyBorder="1" applyAlignment="1">
      <alignment horizontal="center" vertical="center" wrapText="1"/>
      <protection locked="0"/>
    </xf>
    <xf numFmtId="0" fontId="0" fillId="0" borderId="58" xfId="4" applyNumberFormat="1" applyFont="1" applyFill="1" applyBorder="1" applyAlignment="1">
      <alignment horizontal="center" vertical="center" wrapText="1"/>
      <protection locked="0"/>
    </xf>
    <xf numFmtId="0" fontId="0" fillId="0" borderId="68" xfId="4" applyNumberFormat="1" applyFont="1" applyFill="1" applyBorder="1" applyAlignment="1">
      <alignment horizontal="center" vertical="center" wrapText="1"/>
      <protection locked="0"/>
    </xf>
    <xf numFmtId="0" fontId="30" fillId="5" borderId="77" xfId="4" applyNumberFormat="1" applyFont="1" applyFill="1" applyBorder="1" applyAlignment="1">
      <alignment horizontal="center" vertical="center" wrapText="1"/>
      <protection locked="0"/>
    </xf>
    <xf numFmtId="0" fontId="0" fillId="0" borderId="51" xfId="4" applyNumberFormat="1" applyFont="1" applyFill="1" applyBorder="1" applyAlignment="1">
      <alignment horizontal="center" vertical="center" wrapText="1"/>
      <protection locked="0"/>
    </xf>
    <xf numFmtId="0" fontId="0" fillId="0" borderId="64" xfId="4" applyNumberFormat="1" applyFont="1" applyFill="1" applyBorder="1" applyAlignment="1">
      <alignment horizontal="center" vertical="center" wrapText="1"/>
      <protection locked="0"/>
    </xf>
    <xf numFmtId="0" fontId="30" fillId="5" borderId="1" xfId="4" applyNumberFormat="1" applyFont="1" applyFill="1" applyBorder="1" applyAlignment="1">
      <alignment horizontal="center" vertical="center" wrapText="1"/>
      <protection locked="0"/>
    </xf>
    <xf numFmtId="0" fontId="0" fillId="0" borderId="2" xfId="4" applyNumberFormat="1" applyFont="1" applyFill="1" applyBorder="1" applyAlignment="1">
      <alignment horizontal="center" vertical="center" wrapText="1"/>
      <protection locked="0"/>
    </xf>
    <xf numFmtId="0" fontId="0" fillId="0" borderId="4" xfId="4" applyNumberFormat="1" applyFont="1" applyFill="1" applyBorder="1" applyAlignment="1">
      <alignment horizontal="center" vertical="center" wrapText="1"/>
      <protection locked="0"/>
    </xf>
    <xf numFmtId="0" fontId="30" fillId="5" borderId="11" xfId="4" applyNumberFormat="1" applyFont="1" applyFill="1" applyBorder="1" applyAlignment="1">
      <alignment horizontal="center" vertical="center" wrapText="1"/>
      <protection locked="0"/>
    </xf>
    <xf numFmtId="0" fontId="0" fillId="0" borderId="5" xfId="4" applyNumberFormat="1" applyFont="1" applyFill="1" applyBorder="1" applyAlignment="1">
      <alignment vertical="center" wrapText="1"/>
      <protection locked="0"/>
    </xf>
    <xf numFmtId="0" fontId="0" fillId="0" borderId="63" xfId="4" applyNumberFormat="1" applyFont="1" applyFill="1" applyBorder="1" applyAlignment="1">
      <alignment vertical="center" wrapText="1"/>
      <protection locked="0"/>
    </xf>
    <xf numFmtId="0" fontId="30" fillId="5" borderId="20" xfId="4" applyNumberFormat="1" applyFont="1" applyFill="1" applyBorder="1" applyAlignment="1">
      <alignment horizontal="center" vertical="center" wrapText="1"/>
      <protection locked="0"/>
    </xf>
    <xf numFmtId="0" fontId="0" fillId="0" borderId="13" xfId="4" applyNumberFormat="1" applyFont="1" applyFill="1" applyBorder="1" applyAlignment="1">
      <alignment vertical="center" wrapText="1"/>
      <protection locked="0"/>
    </xf>
    <xf numFmtId="0" fontId="0" fillId="0" borderId="14" xfId="4" applyNumberFormat="1" applyFont="1" applyFill="1" applyBorder="1" applyAlignment="1">
      <alignment vertical="center" wrapText="1"/>
      <protection locked="0"/>
    </xf>
    <xf numFmtId="0" fontId="30" fillId="5" borderId="42" xfId="4" applyNumberFormat="1" applyFont="1" applyFill="1" applyBorder="1" applyAlignment="1">
      <alignment vertical="center" wrapText="1"/>
      <protection locked="0"/>
    </xf>
    <xf numFmtId="0" fontId="30" fillId="5" borderId="58" xfId="4" applyNumberFormat="1" applyFont="1" applyFill="1" applyBorder="1" applyAlignment="1">
      <alignment vertical="center" wrapText="1"/>
      <protection locked="0"/>
    </xf>
    <xf numFmtId="0" fontId="30" fillId="5" borderId="68" xfId="4" applyNumberFormat="1" applyFont="1" applyFill="1" applyBorder="1" applyAlignment="1">
      <alignment vertical="center" wrapText="1"/>
      <protection locked="0"/>
    </xf>
    <xf numFmtId="0" fontId="30" fillId="5" borderId="25" xfId="4" applyNumberFormat="1" applyFont="1" applyFill="1" applyBorder="1" applyAlignment="1">
      <alignment horizontal="center" vertical="center" wrapText="1"/>
      <protection locked="0"/>
    </xf>
    <xf numFmtId="0" fontId="0" fillId="0" borderId="19" xfId="4" applyNumberFormat="1" applyFont="1" applyFill="1" applyBorder="1" applyAlignment="1">
      <alignment horizontal="center" vertical="center" wrapText="1"/>
      <protection locked="0"/>
    </xf>
    <xf numFmtId="0" fontId="0" fillId="0" borderId="26" xfId="4" applyNumberFormat="1" applyFont="1" applyFill="1" applyBorder="1" applyAlignment="1">
      <alignment horizontal="center" vertical="center" wrapText="1"/>
      <protection locked="0"/>
    </xf>
    <xf numFmtId="0" fontId="45" fillId="3" borderId="33" xfId="2" applyNumberFormat="1" applyFont="1" applyFill="1" applyBorder="1" applyAlignment="1">
      <alignment horizontal="center"/>
    </xf>
    <xf numFmtId="0" fontId="45" fillId="0" borderId="52" xfId="2" applyNumberFormat="1" applyFont="1" applyFill="1" applyBorder="1" applyAlignment="1">
      <alignment horizontal="center"/>
    </xf>
    <xf numFmtId="0" fontId="45" fillId="0" borderId="37" xfId="2" applyNumberFormat="1" applyFont="1" applyFill="1" applyBorder="1" applyAlignment="1">
      <alignment horizontal="center"/>
    </xf>
    <xf numFmtId="0" fontId="45" fillId="5" borderId="25" xfId="4" applyNumberFormat="1" applyFont="1" applyFill="1" applyBorder="1" applyAlignment="1">
      <alignment horizontal="center"/>
      <protection locked="0"/>
    </xf>
    <xf numFmtId="0" fontId="45" fillId="5" borderId="19" xfId="4" applyNumberFormat="1" applyFont="1" applyFill="1" applyBorder="1" applyAlignment="1">
      <alignment horizontal="center"/>
      <protection locked="0"/>
    </xf>
    <xf numFmtId="0" fontId="45" fillId="5" borderId="26" xfId="4" applyNumberFormat="1" applyFont="1" applyFill="1" applyBorder="1" applyAlignment="1">
      <alignment horizontal="center"/>
      <protection locked="0"/>
    </xf>
    <xf numFmtId="0" fontId="30" fillId="5" borderId="25" xfId="4" applyNumberFormat="1" applyFont="1" applyFill="1" applyBorder="1" applyAlignment="1">
      <alignment vertical="center" wrapText="1"/>
      <protection locked="0"/>
    </xf>
    <xf numFmtId="0" fontId="30" fillId="5" borderId="19" xfId="4" applyNumberFormat="1" applyFont="1" applyFill="1" applyBorder="1" applyAlignment="1">
      <alignment vertical="center" wrapText="1"/>
      <protection locked="0"/>
    </xf>
    <xf numFmtId="0" fontId="30" fillId="5" borderId="26" xfId="4" applyNumberFormat="1" applyFont="1" applyFill="1" applyBorder="1" applyAlignment="1">
      <alignment vertical="center" wrapText="1"/>
      <protection locked="0"/>
    </xf>
    <xf numFmtId="0" fontId="30" fillId="5" borderId="53" xfId="4" applyNumberFormat="1" applyFont="1" applyFill="1" applyBorder="1" applyAlignment="1">
      <alignment horizontal="center" vertical="center" wrapText="1"/>
      <protection locked="0"/>
    </xf>
    <xf numFmtId="0" fontId="0" fillId="0" borderId="9" xfId="4" applyNumberFormat="1" applyFont="1" applyFill="1" applyBorder="1" applyAlignment="1">
      <alignment vertical="center" wrapText="1"/>
      <protection locked="0"/>
    </xf>
    <xf numFmtId="0" fontId="0" fillId="0" borderId="49" xfId="4" applyNumberFormat="1" applyFont="1" applyFill="1" applyBorder="1" applyAlignment="1">
      <alignment vertical="center" wrapText="1"/>
      <protection locked="0"/>
    </xf>
    <xf numFmtId="0" fontId="10" fillId="3" borderId="33" xfId="2" applyNumberFormat="1" applyFont="1" applyFill="1" applyBorder="1" applyAlignment="1">
      <alignment horizontal="center" vertical="center" wrapText="1"/>
    </xf>
    <xf numFmtId="0" fontId="72" fillId="0" borderId="52" xfId="2" applyNumberFormat="1" applyFont="1" applyFill="1" applyBorder="1" applyAlignment="1">
      <alignment horizontal="center" vertical="center" wrapText="1"/>
    </xf>
    <xf numFmtId="0" fontId="72" fillId="0" borderId="37" xfId="2" applyNumberFormat="1" applyFont="1" applyFill="1" applyBorder="1" applyAlignment="1">
      <alignment horizontal="center" vertical="center" wrapText="1"/>
    </xf>
    <xf numFmtId="0" fontId="30" fillId="5" borderId="28" xfId="4" applyNumberFormat="1" applyFont="1" applyFill="1" applyBorder="1" applyAlignment="1">
      <protection locked="0"/>
    </xf>
    <xf numFmtId="0" fontId="30" fillId="0" borderId="29" xfId="4" applyNumberFormat="1" applyFont="1" applyFill="1" applyBorder="1" applyAlignment="1">
      <protection locked="0"/>
    </xf>
    <xf numFmtId="0" fontId="30" fillId="3" borderId="28" xfId="2" applyNumberFormat="1" applyFont="1" applyFill="1" applyBorder="1" applyAlignment="1">
      <alignment horizontal="right" vertical="center" wrapText="1"/>
    </xf>
    <xf numFmtId="0" fontId="0" fillId="0" borderId="29" xfId="2" applyNumberFormat="1" applyFont="1" applyFill="1" applyBorder="1" applyAlignment="1">
      <alignment vertical="center" wrapText="1"/>
    </xf>
    <xf numFmtId="0" fontId="45" fillId="3" borderId="52" xfId="2" applyNumberFormat="1" applyFont="1" applyFill="1" applyBorder="1" applyAlignment="1">
      <alignment horizontal="center" vertical="center" wrapText="1"/>
    </xf>
    <xf numFmtId="0" fontId="45" fillId="3" borderId="37" xfId="2" applyNumberFormat="1" applyFont="1" applyFill="1" applyBorder="1" applyAlignment="1">
      <alignment horizontal="center" vertical="center" wrapText="1"/>
    </xf>
    <xf numFmtId="0" fontId="45" fillId="0" borderId="52" xfId="2" applyNumberFormat="1" applyFont="1" applyFill="1" applyBorder="1" applyAlignment="1">
      <alignment horizontal="center" vertical="center" wrapText="1"/>
    </xf>
    <xf numFmtId="0" fontId="45" fillId="0" borderId="37" xfId="2" applyNumberFormat="1" applyFont="1" applyFill="1" applyBorder="1" applyAlignment="1">
      <alignment horizontal="center" vertical="center" wrapText="1"/>
    </xf>
    <xf numFmtId="0" fontId="45" fillId="3" borderId="33" xfId="2" applyNumberFormat="1" applyFont="1" applyFill="1" applyBorder="1" applyAlignment="1">
      <alignment horizontal="center" vertical="center"/>
    </xf>
    <xf numFmtId="0" fontId="0" fillId="0" borderId="52" xfId="2" applyNumberFormat="1" applyFont="1" applyFill="1" applyBorder="1" applyAlignment="1">
      <alignment horizontal="center" vertical="center"/>
    </xf>
    <xf numFmtId="0" fontId="0" fillId="0" borderId="37" xfId="2" applyNumberFormat="1" applyFont="1" applyFill="1" applyBorder="1" applyAlignment="1">
      <alignment horizontal="center" vertical="center"/>
    </xf>
    <xf numFmtId="0" fontId="0" fillId="0" borderId="43" xfId="4" applyNumberFormat="1" applyFont="1" applyFill="1" applyBorder="1" applyAlignment="1">
      <alignment vertical="center" wrapText="1"/>
      <protection locked="0"/>
    </xf>
    <xf numFmtId="0" fontId="0" fillId="0" borderId="65" xfId="4" applyNumberFormat="1" applyFont="1" applyFill="1" applyBorder="1" applyAlignment="1">
      <alignment vertical="center" wrapText="1"/>
      <protection locked="0"/>
    </xf>
    <xf numFmtId="0" fontId="0" fillId="0" borderId="69" xfId="4" applyNumberFormat="1" applyFont="1" applyFill="1" applyBorder="1" applyAlignment="1">
      <alignment vertical="center" wrapText="1"/>
      <protection locked="0"/>
    </xf>
    <xf numFmtId="0" fontId="45" fillId="5" borderId="42" xfId="4" applyNumberFormat="1" applyFont="1" applyFill="1" applyBorder="1" applyAlignment="1">
      <alignment horizontal="center"/>
      <protection locked="0"/>
    </xf>
    <xf numFmtId="0" fontId="45" fillId="5" borderId="58" xfId="4" applyNumberFormat="1" applyFont="1" applyFill="1" applyBorder="1" applyAlignment="1">
      <alignment horizontal="center"/>
      <protection locked="0"/>
    </xf>
    <xf numFmtId="0" fontId="45" fillId="5" borderId="68" xfId="4" applyNumberFormat="1" applyFont="1" applyFill="1" applyBorder="1" applyAlignment="1">
      <alignment horizontal="center"/>
      <protection locked="0"/>
    </xf>
    <xf numFmtId="0" fontId="32" fillId="3" borderId="0" xfId="0" applyFont="1" applyFill="1" applyAlignment="1">
      <alignment horizontal="center" vertical="center" wrapText="1"/>
    </xf>
    <xf numFmtId="0" fontId="93" fillId="0" borderId="0" xfId="0" applyFont="1" applyAlignment="1">
      <alignment horizontal="center" vertical="center" wrapText="1"/>
    </xf>
    <xf numFmtId="0" fontId="0" fillId="0" borderId="0" xfId="0" applyAlignment="1">
      <alignment horizontal="center" vertical="center" wrapText="1"/>
    </xf>
    <xf numFmtId="0" fontId="27" fillId="3" borderId="71" xfId="0" applyFont="1" applyFill="1" applyBorder="1" applyAlignment="1">
      <alignment wrapText="1"/>
    </xf>
    <xf numFmtId="0" fontId="0" fillId="0" borderId="32" xfId="0" applyBorder="1" applyAlignment="1"/>
    <xf numFmtId="0" fontId="45" fillId="3" borderId="71" xfId="0" applyFont="1" applyFill="1" applyBorder="1" applyAlignment="1">
      <alignment horizontal="center" vertical="center" wrapText="1"/>
    </xf>
    <xf numFmtId="0" fontId="68" fillId="0" borderId="32" xfId="0" applyFont="1" applyBorder="1" applyAlignment="1">
      <alignment horizontal="center" vertical="center" wrapText="1"/>
    </xf>
    <xf numFmtId="0" fontId="0" fillId="0" borderId="32" xfId="0" applyBorder="1" applyAlignment="1">
      <alignment wrapText="1"/>
    </xf>
    <xf numFmtId="0" fontId="68" fillId="0" borderId="32" xfId="0" applyFont="1" applyBorder="1" applyAlignment="1">
      <alignment horizontal="center" wrapText="1"/>
    </xf>
    <xf numFmtId="0" fontId="24" fillId="3" borderId="0" xfId="2" applyNumberFormat="1" applyFont="1" applyFill="1" applyBorder="1" applyAlignment="1">
      <alignment horizontal="left" wrapText="1"/>
    </xf>
    <xf numFmtId="0" fontId="24" fillId="0" borderId="0" xfId="2" applyNumberFormat="1" applyFont="1" applyFill="1" applyBorder="1" applyAlignment="1">
      <alignment horizontal="left" wrapText="1"/>
    </xf>
    <xf numFmtId="0" fontId="0" fillId="0" borderId="0" xfId="2" applyNumberFormat="1" applyFont="1" applyFill="1" applyBorder="1" applyAlignment="1">
      <alignment horizontal="left" wrapText="1"/>
    </xf>
    <xf numFmtId="0" fontId="23" fillId="5" borderId="41" xfId="2" applyNumberFormat="1" applyFont="1" applyFill="1" applyBorder="1" applyAlignment="1">
      <alignment horizontal="left"/>
    </xf>
    <xf numFmtId="0" fontId="0" fillId="0" borderId="45" xfId="2" applyNumberFormat="1" applyFont="1" applyFill="1" applyBorder="1" applyAlignment="1">
      <alignment horizontal="left"/>
    </xf>
    <xf numFmtId="0" fontId="30" fillId="5" borderId="41" xfId="4" applyNumberFormat="1" applyFont="1" applyFill="1" applyBorder="1" applyAlignment="1">
      <protection locked="0"/>
    </xf>
    <xf numFmtId="0" fontId="25" fillId="0" borderId="58" xfId="4" applyNumberFormat="1" applyFont="1" applyFill="1" applyBorder="1" applyAlignment="1">
      <protection locked="0"/>
    </xf>
    <xf numFmtId="0" fontId="25" fillId="0" borderId="68" xfId="4" applyNumberFormat="1" applyFont="1" applyFill="1" applyBorder="1" applyAlignment="1">
      <protection locked="0"/>
    </xf>
    <xf numFmtId="0" fontId="46" fillId="5" borderId="41" xfId="4" applyNumberFormat="1" applyFont="1" applyFill="1" applyBorder="1" applyAlignment="1">
      <protection locked="0"/>
    </xf>
    <xf numFmtId="0" fontId="27" fillId="3" borderId="18" xfId="2" applyNumberFormat="1" applyFont="1" applyFill="1" applyBorder="1" applyAlignment="1">
      <alignment horizontal="center" wrapText="1"/>
    </xf>
    <xf numFmtId="0" fontId="27" fillId="3" borderId="19" xfId="2" applyNumberFormat="1" applyFont="1" applyFill="1" applyBorder="1" applyAlignment="1">
      <alignment horizontal="center" wrapText="1"/>
    </xf>
    <xf numFmtId="0" fontId="27" fillId="3" borderId="26" xfId="2" applyNumberFormat="1" applyFont="1" applyFill="1" applyBorder="1" applyAlignment="1">
      <alignment horizontal="center" wrapText="1"/>
    </xf>
    <xf numFmtId="0" fontId="30" fillId="5" borderId="19" xfId="4" applyNumberFormat="1" applyFont="1" applyFill="1" applyBorder="1" applyAlignment="1">
      <protection locked="0"/>
    </xf>
    <xf numFmtId="0" fontId="30" fillId="5" borderId="26" xfId="4" applyNumberFormat="1" applyFont="1" applyFill="1" applyBorder="1" applyAlignment="1">
      <protection locked="0"/>
    </xf>
    <xf numFmtId="0" fontId="30" fillId="5" borderId="58" xfId="4" applyNumberFormat="1" applyFont="1" applyFill="1" applyBorder="1" applyAlignment="1">
      <protection locked="0"/>
    </xf>
    <xf numFmtId="0" fontId="30" fillId="5" borderId="68" xfId="4" applyNumberFormat="1" applyFont="1" applyFill="1" applyBorder="1" applyAlignment="1">
      <protection locked="0"/>
    </xf>
    <xf numFmtId="0" fontId="46" fillId="5" borderId="58" xfId="4" applyNumberFormat="1" applyFont="1" applyFill="1" applyBorder="1" applyAlignment="1">
      <protection locked="0"/>
    </xf>
    <xf numFmtId="0" fontId="46" fillId="5" borderId="68" xfId="4" applyNumberFormat="1" applyFont="1" applyFill="1" applyBorder="1" applyAlignment="1">
      <protection locked="0"/>
    </xf>
    <xf numFmtId="0" fontId="30" fillId="5" borderId="41" xfId="2" applyNumberFormat="1" applyFont="1" applyFill="1" applyBorder="1" applyAlignment="1">
      <alignment horizontal="left"/>
    </xf>
    <xf numFmtId="0" fontId="30" fillId="5" borderId="55" xfId="4" applyNumberFormat="1" applyFont="1" applyFill="1" applyBorder="1" applyAlignment="1">
      <protection locked="0"/>
    </xf>
    <xf numFmtId="0" fontId="30" fillId="5" borderId="0" xfId="4" applyNumberFormat="1" applyFont="1" applyFill="1" applyBorder="1" applyAlignment="1">
      <protection locked="0"/>
    </xf>
    <xf numFmtId="0" fontId="30" fillId="5" borderId="7" xfId="4" applyNumberFormat="1" applyFont="1" applyFill="1" applyBorder="1" applyAlignment="1">
      <protection locked="0"/>
    </xf>
    <xf numFmtId="0" fontId="27" fillId="3" borderId="5" xfId="2" applyNumberFormat="1" applyFont="1" applyFill="1" applyBorder="1" applyAlignment="1">
      <alignment horizontal="center" wrapText="1"/>
    </xf>
    <xf numFmtId="0" fontId="27" fillId="3" borderId="63" xfId="2" applyNumberFormat="1" applyFont="1" applyFill="1" applyBorder="1" applyAlignment="1">
      <alignment horizontal="center" wrapText="1"/>
    </xf>
    <xf numFmtId="0" fontId="26" fillId="3" borderId="38" xfId="2" applyNumberFormat="1" applyFont="1" applyFill="1" applyBorder="1" applyAlignment="1">
      <alignment horizontal="center"/>
    </xf>
    <xf numFmtId="0" fontId="0" fillId="0" borderId="65" xfId="2" applyNumberFormat="1" applyFont="1" applyFill="1" applyBorder="1" applyAlignment="1">
      <alignment horizontal="center"/>
    </xf>
    <xf numFmtId="0" fontId="0" fillId="0" borderId="69" xfId="2" applyNumberFormat="1" applyFont="1" applyFill="1" applyBorder="1" applyAlignment="1">
      <alignment horizontal="center"/>
    </xf>
    <xf numFmtId="0" fontId="27" fillId="5" borderId="67" xfId="4" applyNumberFormat="1" applyFont="1" applyFill="1" applyBorder="1" applyAlignment="1">
      <protection locked="0"/>
    </xf>
    <xf numFmtId="0" fontId="27" fillId="5" borderId="52" xfId="4" applyNumberFormat="1" applyFont="1" applyFill="1" applyBorder="1" applyAlignment="1">
      <protection locked="0"/>
    </xf>
    <xf numFmtId="0" fontId="27" fillId="5" borderId="37" xfId="4" applyNumberFormat="1" applyFont="1" applyFill="1" applyBorder="1" applyAlignment="1">
      <protection locked="0"/>
    </xf>
    <xf numFmtId="0" fontId="30" fillId="5" borderId="39" xfId="4" applyNumberFormat="1" applyFont="1" applyFill="1" applyBorder="1" applyAlignment="1">
      <protection locked="0"/>
    </xf>
    <xf numFmtId="0" fontId="30" fillId="5" borderId="51" xfId="4" applyNumberFormat="1" applyFont="1" applyFill="1" applyBorder="1" applyAlignment="1">
      <protection locked="0"/>
    </xf>
    <xf numFmtId="0" fontId="30" fillId="5" borderId="64" xfId="4" applyNumberFormat="1" applyFont="1" applyFill="1" applyBorder="1" applyAlignment="1">
      <protection locked="0"/>
    </xf>
    <xf numFmtId="0" fontId="30" fillId="5" borderId="3" xfId="4" applyNumberFormat="1" applyFont="1" applyFill="1" applyBorder="1" applyAlignment="1">
      <protection locked="0"/>
    </xf>
    <xf numFmtId="0" fontId="30" fillId="5" borderId="2" xfId="4" applyNumberFormat="1" applyFont="1" applyFill="1" applyBorder="1" applyAlignment="1">
      <protection locked="0"/>
    </xf>
    <xf numFmtId="0" fontId="30" fillId="5" borderId="4" xfId="4" applyNumberFormat="1" applyFont="1" applyFill="1" applyBorder="1" applyAlignment="1">
      <protection locked="0"/>
    </xf>
    <xf numFmtId="0" fontId="27" fillId="5" borderId="9" xfId="4" applyNumberFormat="1" applyFont="1" applyFill="1" applyBorder="1" applyAlignment="1">
      <protection locked="0"/>
    </xf>
    <xf numFmtId="0" fontId="27" fillId="5" borderId="49" xfId="4" applyNumberFormat="1" applyFont="1" applyFill="1" applyBorder="1" applyAlignment="1">
      <protection locked="0"/>
    </xf>
    <xf numFmtId="0" fontId="30" fillId="5" borderId="18" xfId="4" applyNumberFormat="1" applyFont="1" applyFill="1" applyBorder="1" applyAlignment="1">
      <protection locked="0"/>
    </xf>
    <xf numFmtId="0" fontId="30" fillId="5" borderId="41" xfId="4" applyNumberFormat="1" applyFont="1" applyFill="1" applyBorder="1" applyAlignment="1">
      <alignment horizontal="center"/>
      <protection locked="0"/>
    </xf>
    <xf numFmtId="0" fontId="25" fillId="5" borderId="58" xfId="4" applyNumberFormat="1" applyFont="1" applyFill="1" applyBorder="1" applyAlignment="1">
      <alignment horizontal="center"/>
      <protection locked="0"/>
    </xf>
    <xf numFmtId="0" fontId="25" fillId="5" borderId="68" xfId="4" applyNumberFormat="1" applyFont="1" applyFill="1" applyBorder="1" applyAlignment="1">
      <alignment horizontal="center"/>
      <protection locked="0"/>
    </xf>
    <xf numFmtId="0" fontId="27" fillId="3" borderId="0" xfId="2" applyNumberFormat="1" applyFont="1" applyFill="1" applyBorder="1" applyAlignment="1"/>
    <xf numFmtId="0" fontId="23" fillId="3" borderId="0" xfId="2" applyNumberFormat="1" applyFont="1" applyFill="1" applyBorder="1" applyAlignment="1"/>
    <xf numFmtId="0" fontId="25" fillId="0" borderId="9" xfId="2" applyNumberFormat="1" applyFont="1" applyFill="1" applyBorder="1" applyAlignment="1">
      <alignment wrapText="1"/>
    </xf>
    <xf numFmtId="0" fontId="25" fillId="0" borderId="49" xfId="2" applyNumberFormat="1" applyFont="1" applyFill="1" applyBorder="1" applyAlignment="1"/>
    <xf numFmtId="0" fontId="28" fillId="3" borderId="54" xfId="2" applyNumberFormat="1" applyFont="1" applyFill="1" applyBorder="1" applyAlignment="1">
      <alignment horizontal="left" wrapText="1"/>
    </xf>
    <xf numFmtId="0" fontId="25" fillId="0" borderId="53" xfId="2" applyNumberFormat="1" applyFont="1" applyFill="1" applyBorder="1" applyAlignment="1">
      <alignment wrapText="1"/>
    </xf>
    <xf numFmtId="0" fontId="49" fillId="5" borderId="41" xfId="4" applyNumberFormat="1" applyFont="1" applyFill="1" applyBorder="1" applyAlignment="1">
      <protection locked="0"/>
    </xf>
    <xf numFmtId="0" fontId="25" fillId="0" borderId="45" xfId="4" applyNumberFormat="1" applyFont="1" applyFill="1" applyBorder="1" applyAlignment="1">
      <protection locked="0"/>
    </xf>
    <xf numFmtId="0" fontId="49" fillId="5" borderId="39" xfId="4" applyNumberFormat="1" applyFont="1" applyFill="1" applyBorder="1" applyAlignment="1">
      <protection locked="0"/>
    </xf>
    <xf numFmtId="0" fontId="25" fillId="0" borderId="51" xfId="4" applyNumberFormat="1" applyFont="1" applyFill="1" applyBorder="1" applyAlignment="1">
      <protection locked="0"/>
    </xf>
    <xf numFmtId="0" fontId="25" fillId="0" borderId="57" xfId="4" applyNumberFormat="1" applyFont="1" applyFill="1" applyBorder="1" applyAlignment="1">
      <protection locked="0"/>
    </xf>
    <xf numFmtId="0" fontId="27" fillId="3" borderId="54" xfId="2" applyNumberFormat="1" applyFont="1" applyFill="1" applyBorder="1" applyAlignment="1">
      <alignment horizontal="center"/>
    </xf>
    <xf numFmtId="0" fontId="27" fillId="0" borderId="66" xfId="2" applyNumberFormat="1" applyFont="1" applyFill="1" applyBorder="1" applyAlignment="1"/>
    <xf numFmtId="0" fontId="27" fillId="3" borderId="66" xfId="2" applyNumberFormat="1" applyFont="1" applyFill="1" applyBorder="1" applyAlignment="1">
      <alignment horizontal="center" wrapText="1"/>
    </xf>
    <xf numFmtId="0" fontId="0" fillId="0" borderId="49" xfId="2" applyNumberFormat="1" applyFont="1" applyFill="1" applyBorder="1" applyAlignment="1">
      <alignment horizontal="center"/>
    </xf>
    <xf numFmtId="0" fontId="0" fillId="0" borderId="49" xfId="2" applyNumberFormat="1" applyFont="1" applyFill="1" applyBorder="1" applyAlignment="1">
      <alignment horizontal="center" wrapText="1"/>
    </xf>
    <xf numFmtId="0" fontId="27" fillId="3" borderId="30" xfId="2" applyNumberFormat="1" applyFont="1" applyFill="1" applyBorder="1" applyAlignment="1">
      <alignment horizontal="center" wrapText="1"/>
    </xf>
    <xf numFmtId="0" fontId="27" fillId="3" borderId="23" xfId="2" applyNumberFormat="1" applyFont="1" applyFill="1" applyBorder="1" applyAlignment="1">
      <alignment horizontal="center" wrapText="1"/>
    </xf>
    <xf numFmtId="0" fontId="0" fillId="0" borderId="24" xfId="2" applyNumberFormat="1" applyFont="1" applyFill="1" applyBorder="1" applyAlignment="1">
      <alignment wrapText="1"/>
    </xf>
    <xf numFmtId="0" fontId="27" fillId="3" borderId="1" xfId="2" applyNumberFormat="1" applyFont="1" applyFill="1" applyBorder="1" applyAlignment="1">
      <alignment horizontal="center" wrapText="1"/>
    </xf>
    <xf numFmtId="0" fontId="27" fillId="3" borderId="2" xfId="2" applyNumberFormat="1" applyFont="1" applyFill="1" applyBorder="1" applyAlignment="1">
      <alignment horizontal="center" wrapText="1"/>
    </xf>
    <xf numFmtId="0" fontId="0" fillId="0" borderId="4" xfId="2" applyNumberFormat="1" applyFont="1" applyFill="1" applyBorder="1" applyAlignment="1">
      <alignment wrapText="1"/>
    </xf>
    <xf numFmtId="0" fontId="31" fillId="5" borderId="34" xfId="4" applyNumberFormat="1" applyFont="1" applyFill="1" applyBorder="1" applyAlignment="1">
      <alignment horizontal="left" wrapText="1"/>
      <protection locked="0"/>
    </xf>
    <xf numFmtId="0" fontId="0" fillId="0" borderId="34" xfId="4" applyNumberFormat="1" applyFont="1" applyFill="1" applyBorder="1" applyAlignment="1">
      <alignment wrapText="1"/>
      <protection locked="0"/>
    </xf>
    <xf numFmtId="0" fontId="23" fillId="5" borderId="13" xfId="4" applyNumberFormat="1" applyFont="1" applyFill="1" applyBorder="1" applyAlignment="1">
      <alignment horizontal="left" wrapText="1"/>
      <protection locked="0"/>
    </xf>
    <xf numFmtId="0" fontId="0" fillId="0" borderId="13" xfId="4" applyNumberFormat="1" applyFont="1" applyFill="1" applyBorder="1" applyAlignment="1">
      <alignment wrapText="1"/>
      <protection locked="0"/>
    </xf>
    <xf numFmtId="0" fontId="31" fillId="5" borderId="13" xfId="4" applyNumberFormat="1" applyFont="1" applyFill="1" applyBorder="1" applyAlignment="1">
      <alignment horizontal="left" wrapText="1"/>
      <protection locked="0"/>
    </xf>
    <xf numFmtId="0" fontId="23" fillId="5" borderId="13" xfId="4" applyNumberFormat="1" applyFont="1" applyFill="1" applyBorder="1" applyAlignment="1">
      <alignment horizontal="left"/>
      <protection locked="0"/>
    </xf>
    <xf numFmtId="0" fontId="0" fillId="0" borderId="13" xfId="4" applyNumberFormat="1" applyFont="1" applyFill="1" applyBorder="1" applyAlignment="1">
      <alignment horizontal="left"/>
      <protection locked="0"/>
    </xf>
    <xf numFmtId="0" fontId="0" fillId="0" borderId="14" xfId="4" applyNumberFormat="1" applyFont="1" applyFill="1" applyBorder="1" applyAlignment="1">
      <alignment horizontal="left"/>
      <protection locked="0"/>
    </xf>
    <xf numFmtId="0" fontId="23" fillId="5" borderId="45" xfId="4" applyNumberFormat="1" applyFont="1" applyFill="1" applyBorder="1" applyAlignment="1">
      <protection locked="0"/>
    </xf>
    <xf numFmtId="0" fontId="23" fillId="5" borderId="14" xfId="4" applyNumberFormat="1" applyFont="1" applyFill="1" applyBorder="1" applyAlignment="1">
      <protection locked="0"/>
    </xf>
    <xf numFmtId="0" fontId="23" fillId="5" borderId="47" xfId="4" applyNumberFormat="1" applyFont="1" applyFill="1" applyBorder="1" applyAlignment="1">
      <protection locked="0"/>
    </xf>
    <xf numFmtId="0" fontId="23" fillId="5" borderId="35" xfId="4" applyNumberFormat="1" applyFont="1" applyFill="1" applyBorder="1" applyAlignment="1">
      <protection locked="0"/>
    </xf>
    <xf numFmtId="0" fontId="27" fillId="3" borderId="53" xfId="2" applyNumberFormat="1" applyFont="1" applyFill="1" applyBorder="1" applyAlignment="1">
      <alignment horizontal="center" wrapText="1"/>
    </xf>
    <xf numFmtId="0" fontId="0" fillId="0" borderId="9" xfId="2" applyNumberFormat="1" applyFont="1" applyFill="1" applyBorder="1" applyAlignment="1">
      <alignment horizontal="center"/>
    </xf>
    <xf numFmtId="0" fontId="23" fillId="5" borderId="8" xfId="4" applyNumberFormat="1" applyFont="1" applyFill="1" applyBorder="1" applyAlignment="1">
      <alignment horizontal="left"/>
      <protection locked="0"/>
    </xf>
    <xf numFmtId="0" fontId="0" fillId="0" borderId="8" xfId="4" applyNumberFormat="1" applyFont="1" applyFill="1" applyBorder="1" applyAlignment="1">
      <alignment horizontal="left"/>
      <protection locked="0"/>
    </xf>
    <xf numFmtId="0" fontId="0" fillId="0" borderId="35" xfId="4" applyNumberFormat="1" applyFont="1" applyFill="1" applyBorder="1" applyAlignment="1">
      <alignment horizontal="left"/>
      <protection locked="0"/>
    </xf>
    <xf numFmtId="0" fontId="0" fillId="0" borderId="40" xfId="2" applyNumberFormat="1" applyFont="1" applyFill="1" applyBorder="1" applyAlignment="1">
      <alignment horizontal="center" wrapText="1"/>
    </xf>
    <xf numFmtId="0" fontId="27" fillId="3" borderId="62" xfId="2" applyNumberFormat="1" applyFont="1" applyFill="1" applyBorder="1" applyAlignment="1">
      <alignment horizontal="center" wrapText="1"/>
    </xf>
    <xf numFmtId="0" fontId="0" fillId="0" borderId="34" xfId="2" applyNumberFormat="1" applyFont="1" applyFill="1" applyBorder="1" applyAlignment="1">
      <alignment horizontal="center" wrapText="1"/>
    </xf>
    <xf numFmtId="0" fontId="23" fillId="5" borderId="58" xfId="4" applyNumberFormat="1" applyFont="1" applyFill="1" applyBorder="1" applyAlignment="1">
      <protection locked="0"/>
    </xf>
    <xf numFmtId="0" fontId="23" fillId="5" borderId="68" xfId="4" applyNumberFormat="1" applyFont="1" applyFill="1" applyBorder="1" applyAlignment="1">
      <protection locked="0"/>
    </xf>
    <xf numFmtId="0" fontId="27" fillId="3" borderId="15" xfId="2" applyNumberFormat="1" applyFont="1" applyFill="1" applyBorder="1" applyAlignment="1">
      <alignment horizontal="center"/>
    </xf>
    <xf numFmtId="0" fontId="27" fillId="0" borderId="61" xfId="2" applyNumberFormat="1" applyFont="1" applyFill="1" applyBorder="1" applyAlignment="1"/>
    <xf numFmtId="0" fontId="36" fillId="3" borderId="53" xfId="2" applyNumberFormat="1" applyFont="1" applyFill="1" applyBorder="1" applyAlignment="1">
      <alignment horizontal="center"/>
    </xf>
    <xf numFmtId="0" fontId="23" fillId="0" borderId="49" xfId="2" applyNumberFormat="1" applyFont="1" applyFill="1" applyBorder="1" applyAlignment="1"/>
    <xf numFmtId="0" fontId="23" fillId="5" borderId="46" xfId="4" applyNumberFormat="1" applyFont="1" applyFill="1" applyBorder="1" applyAlignment="1">
      <protection locked="0"/>
    </xf>
    <xf numFmtId="0" fontId="23" fillId="5" borderId="63" xfId="4" applyNumberFormat="1" applyFont="1" applyFill="1" applyBorder="1" applyAlignment="1">
      <protection locked="0"/>
    </xf>
    <xf numFmtId="0" fontId="31" fillId="5" borderId="45" xfId="4" applyNumberFormat="1" applyFont="1" applyFill="1" applyBorder="1" applyAlignment="1">
      <protection locked="0"/>
    </xf>
    <xf numFmtId="0" fontId="23" fillId="5" borderId="34" xfId="4" applyNumberFormat="1" applyFont="1" applyFill="1" applyBorder="1" applyAlignment="1">
      <alignment horizontal="left"/>
      <protection locked="0"/>
    </xf>
    <xf numFmtId="0" fontId="0" fillId="0" borderId="34" xfId="4" applyNumberFormat="1" applyFont="1" applyFill="1" applyBorder="1" applyAlignment="1">
      <alignment horizontal="left"/>
      <protection locked="0"/>
    </xf>
    <xf numFmtId="0" fontId="0" fillId="0" borderId="40" xfId="4" applyNumberFormat="1" applyFont="1" applyFill="1" applyBorder="1" applyAlignment="1">
      <alignment horizontal="left"/>
      <protection locked="0"/>
    </xf>
    <xf numFmtId="0" fontId="27" fillId="3" borderId="30" xfId="2" applyNumberFormat="1" applyFont="1" applyFill="1" applyBorder="1" applyAlignment="1">
      <alignment horizontal="center" vertical="top" wrapText="1"/>
    </xf>
    <xf numFmtId="0" fontId="0" fillId="0" borderId="24" xfId="2" applyNumberFormat="1" applyFont="1" applyFill="1" applyBorder="1" applyAlignment="1">
      <alignment vertical="top" wrapText="1"/>
    </xf>
    <xf numFmtId="0" fontId="0" fillId="0" borderId="6" xfId="2" applyNumberFormat="1" applyFont="1" applyFill="1" applyBorder="1" applyAlignment="1">
      <alignment vertical="top" wrapText="1"/>
    </xf>
    <xf numFmtId="0" fontId="0" fillId="0" borderId="7" xfId="2" applyNumberFormat="1" applyFont="1" applyFill="1" applyBorder="1" applyAlignment="1">
      <alignment vertical="top" wrapText="1"/>
    </xf>
    <xf numFmtId="0" fontId="0" fillId="0" borderId="1" xfId="2" applyNumberFormat="1" applyFont="1" applyFill="1" applyBorder="1" applyAlignment="1">
      <alignment vertical="top" wrapText="1"/>
    </xf>
    <xf numFmtId="0" fontId="0" fillId="0" borderId="4" xfId="2" applyNumberFormat="1" applyFont="1" applyFill="1" applyBorder="1" applyAlignment="1">
      <alignment vertical="top" wrapText="1"/>
    </xf>
    <xf numFmtId="0" fontId="23" fillId="5" borderId="19" xfId="4" applyNumberFormat="1" applyFont="1" applyFill="1" applyBorder="1" applyAlignment="1">
      <alignment horizontal="left" wrapText="1"/>
      <protection locked="0"/>
    </xf>
    <xf numFmtId="0" fontId="0" fillId="0" borderId="26" xfId="4" applyNumberFormat="1" applyFont="1" applyFill="1" applyBorder="1" applyAlignment="1">
      <alignment wrapText="1"/>
      <protection locked="0"/>
    </xf>
    <xf numFmtId="0" fontId="27" fillId="0" borderId="53" xfId="2" applyNumberFormat="1" applyFont="1" applyFill="1" applyBorder="1" applyAlignment="1">
      <alignment horizontal="center"/>
    </xf>
    <xf numFmtId="0" fontId="27" fillId="3" borderId="62" xfId="2" applyNumberFormat="1" applyFont="1" applyFill="1" applyBorder="1" applyAlignment="1">
      <alignment horizontal="center"/>
    </xf>
    <xf numFmtId="0" fontId="27" fillId="3" borderId="48" xfId="2" applyNumberFormat="1" applyFont="1" applyFill="1" applyBorder="1" applyAlignment="1">
      <alignment horizontal="center" wrapText="1"/>
    </xf>
    <xf numFmtId="0" fontId="0" fillId="0" borderId="57" xfId="2" applyNumberFormat="1" applyFont="1" applyFill="1" applyBorder="1" applyAlignment="1">
      <alignment horizontal="center" wrapText="1"/>
    </xf>
    <xf numFmtId="0" fontId="27" fillId="3" borderId="54" xfId="2" applyNumberFormat="1" applyFont="1" applyFill="1" applyBorder="1" applyAlignment="1">
      <alignment horizontal="center" wrapText="1"/>
    </xf>
    <xf numFmtId="0" fontId="0" fillId="0" borderId="21" xfId="2" applyNumberFormat="1" applyFont="1" applyFill="1" applyBorder="1" applyAlignment="1">
      <alignment horizontal="center" wrapText="1"/>
    </xf>
    <xf numFmtId="0" fontId="27" fillId="3" borderId="30" xfId="2" applyNumberFormat="1" applyFont="1" applyFill="1" applyBorder="1" applyAlignment="1">
      <alignment horizontal="center"/>
    </xf>
    <xf numFmtId="0" fontId="0" fillId="0" borderId="24" xfId="0" applyBorder="1" applyAlignment="1">
      <alignment horizontal="center"/>
    </xf>
    <xf numFmtId="0" fontId="27" fillId="0" borderId="6" xfId="2" applyNumberFormat="1" applyFont="1" applyFill="1" applyBorder="1" applyAlignment="1">
      <alignment horizontal="center"/>
    </xf>
    <xf numFmtId="0" fontId="0" fillId="0" borderId="7" xfId="0" applyBorder="1" applyAlignment="1">
      <alignment horizontal="center"/>
    </xf>
    <xf numFmtId="0" fontId="0" fillId="0" borderId="9" xfId="2" applyNumberFormat="1" applyFont="1" applyFill="1" applyBorder="1" applyAlignment="1">
      <alignment horizontal="center" wrapText="1"/>
    </xf>
    <xf numFmtId="0" fontId="27" fillId="3" borderId="1" xfId="2" applyNumberFormat="1" applyFont="1" applyFill="1" applyBorder="1" applyAlignment="1">
      <alignment horizontal="center"/>
    </xf>
    <xf numFmtId="0" fontId="0" fillId="0" borderId="4" xfId="0" applyBorder="1" applyAlignment="1">
      <alignment horizontal="center"/>
    </xf>
    <xf numFmtId="0" fontId="23" fillId="4" borderId="41" xfId="2" applyNumberFormat="1" applyFont="1" applyFill="1" applyBorder="1" applyAlignment="1">
      <alignment horizontal="left"/>
    </xf>
    <xf numFmtId="0" fontId="0" fillId="0" borderId="58" xfId="2" applyNumberFormat="1" applyFont="1" applyFill="1" applyBorder="1" applyAlignment="1">
      <alignment horizontal="left"/>
    </xf>
    <xf numFmtId="0" fontId="23"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23" fillId="5" borderId="65" xfId="4" applyNumberFormat="1" applyFont="1" applyFill="1" applyBorder="1" applyAlignment="1">
      <alignment horizontal="left" wrapText="1"/>
      <protection locked="0"/>
    </xf>
    <xf numFmtId="0" fontId="0" fillId="0" borderId="69" xfId="4" applyNumberFormat="1" applyFont="1" applyFill="1" applyBorder="1" applyAlignment="1">
      <alignment wrapText="1"/>
      <protection locked="0"/>
    </xf>
    <xf numFmtId="0" fontId="23" fillId="5" borderId="41" xfId="4" applyNumberFormat="1" applyFont="1" applyFill="1" applyBorder="1" applyAlignment="1">
      <alignment horizontal="left"/>
      <protection locked="0"/>
    </xf>
    <xf numFmtId="0" fontId="23" fillId="5" borderId="58" xfId="4" applyNumberFormat="1" applyFont="1" applyFill="1" applyBorder="1" applyAlignment="1">
      <alignment horizontal="left"/>
      <protection locked="0"/>
    </xf>
    <xf numFmtId="0" fontId="23" fillId="5" borderId="68" xfId="4" applyNumberFormat="1" applyFont="1" applyFill="1" applyBorder="1" applyAlignment="1">
      <alignment horizontal="left"/>
      <protection locked="0"/>
    </xf>
    <xf numFmtId="0" fontId="23" fillId="5" borderId="38" xfId="4" applyNumberFormat="1" applyFont="1" applyFill="1" applyBorder="1" applyAlignment="1">
      <alignment horizontal="left"/>
      <protection locked="0"/>
    </xf>
    <xf numFmtId="0" fontId="23" fillId="5" borderId="65" xfId="4" applyNumberFormat="1" applyFont="1" applyFill="1" applyBorder="1" applyAlignment="1">
      <alignment horizontal="left"/>
      <protection locked="0"/>
    </xf>
    <xf numFmtId="0" fontId="23" fillId="5" borderId="69" xfId="4" applyNumberFormat="1" applyFont="1" applyFill="1" applyBorder="1" applyAlignment="1">
      <alignment horizontal="left"/>
      <protection locked="0"/>
    </xf>
    <xf numFmtId="0" fontId="23" fillId="5" borderId="41" xfId="4" applyNumberFormat="1" applyFont="1" applyFill="1" applyBorder="1" applyAlignment="1">
      <protection locked="0"/>
    </xf>
    <xf numFmtId="0" fontId="0" fillId="0" borderId="58" xfId="4" applyNumberFormat="1" applyFont="1" applyFill="1" applyBorder="1" applyAlignment="1">
      <protection locked="0"/>
    </xf>
    <xf numFmtId="0" fontId="0" fillId="0" borderId="68" xfId="4" applyNumberFormat="1" applyFont="1" applyFill="1" applyBorder="1" applyAlignment="1">
      <protection locked="0"/>
    </xf>
    <xf numFmtId="0" fontId="23" fillId="5" borderId="38" xfId="4" applyNumberFormat="1" applyFont="1" applyFill="1" applyBorder="1" applyAlignment="1">
      <protection locked="0"/>
    </xf>
    <xf numFmtId="0" fontId="0" fillId="0" borderId="65" xfId="4" applyNumberFormat="1" applyFont="1" applyFill="1" applyBorder="1" applyAlignment="1">
      <protection locked="0"/>
    </xf>
    <xf numFmtId="0" fontId="0" fillId="0" borderId="69" xfId="4" applyNumberFormat="1" applyFont="1" applyFill="1" applyBorder="1" applyAlignment="1">
      <protection locked="0"/>
    </xf>
    <xf numFmtId="0" fontId="27" fillId="3" borderId="67" xfId="2" applyNumberFormat="1" applyFont="1" applyFill="1" applyBorder="1" applyAlignment="1">
      <alignment horizontal="center" wrapText="1"/>
    </xf>
    <xf numFmtId="0" fontId="23" fillId="5" borderId="18" xfId="4" applyNumberFormat="1" applyFont="1" applyFill="1" applyBorder="1" applyAlignment="1">
      <protection locked="0"/>
    </xf>
    <xf numFmtId="0" fontId="0" fillId="0" borderId="19" xfId="4" applyNumberFormat="1" applyFont="1" applyFill="1" applyBorder="1" applyAlignment="1">
      <protection locked="0"/>
    </xf>
    <xf numFmtId="0" fontId="0" fillId="0" borderId="26" xfId="4" applyNumberFormat="1" applyFont="1" applyFill="1" applyBorder="1" applyAlignment="1">
      <protection locked="0"/>
    </xf>
    <xf numFmtId="0" fontId="27" fillId="3" borderId="17" xfId="2" applyNumberFormat="1" applyFont="1" applyFill="1" applyBorder="1" applyAlignment="1">
      <alignment horizontal="center" wrapText="1"/>
    </xf>
    <xf numFmtId="0" fontId="0" fillId="0" borderId="17" xfId="2" applyNumberFormat="1" applyFont="1" applyFill="1" applyBorder="1" applyAlignment="1"/>
    <xf numFmtId="0" fontId="0" fillId="0" borderId="50" xfId="2" applyNumberFormat="1" applyFont="1" applyFill="1" applyBorder="1" applyAlignment="1"/>
    <xf numFmtId="0" fontId="23" fillId="5" borderId="18" xfId="4" applyNumberFormat="1" applyFont="1" applyFill="1" applyBorder="1" applyAlignment="1">
      <alignment horizontal="left"/>
      <protection locked="0"/>
    </xf>
    <xf numFmtId="0" fontId="23" fillId="5" borderId="19" xfId="4" applyNumberFormat="1" applyFont="1" applyFill="1" applyBorder="1" applyAlignment="1">
      <alignment horizontal="left"/>
      <protection locked="0"/>
    </xf>
    <xf numFmtId="0" fontId="23" fillId="5" borderId="26" xfId="4" applyNumberFormat="1" applyFont="1" applyFill="1" applyBorder="1" applyAlignment="1">
      <alignment horizontal="left"/>
      <protection locked="0"/>
    </xf>
    <xf numFmtId="0" fontId="23" fillId="5" borderId="39" xfId="4" applyNumberFormat="1" applyFont="1" applyFill="1" applyBorder="1" applyAlignment="1">
      <protection locked="0"/>
    </xf>
    <xf numFmtId="0" fontId="0" fillId="0" borderId="51" xfId="4" applyNumberFormat="1" applyFont="1" applyFill="1" applyBorder="1" applyAlignment="1">
      <protection locked="0"/>
    </xf>
    <xf numFmtId="0" fontId="0" fillId="0" borderId="64" xfId="4" applyNumberFormat="1" applyFont="1" applyFill="1" applyBorder="1" applyAlignment="1">
      <protection locked="0"/>
    </xf>
    <xf numFmtId="0" fontId="27" fillId="3" borderId="52" xfId="2" applyNumberFormat="1" applyFont="1" applyFill="1" applyBorder="1" applyAlignment="1">
      <alignment horizontal="center" wrapText="1"/>
    </xf>
    <xf numFmtId="0" fontId="27" fillId="3" borderId="37" xfId="2" applyNumberFormat="1" applyFont="1" applyFill="1" applyBorder="1" applyAlignment="1">
      <alignment horizontal="center" wrapText="1"/>
    </xf>
  </cellXfs>
  <cellStyles count="5">
    <cellStyle name="Locked" xfId="2" xr:uid="{B26B0A79-BBFD-4530-B1AD-56503ACA41B1}"/>
    <cellStyle name="Locked + Hidden" xfId="3" xr:uid="{EE8C9A67-D4D4-4EA3-A7A1-101E8B9D88AF}"/>
    <cellStyle name="Normal" xfId="0" builtinId="0"/>
    <cellStyle name="Normal 2" xfId="1" xr:uid="{786A50A7-1310-4502-8631-0496037C7B96}"/>
    <cellStyle name="Unlocked" xfId="4" xr:uid="{B47B7BEB-430F-4963-8FB8-5BEF0779E667}"/>
  </cellStyles>
  <dxfs count="6">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latin typeface="Franklin Gothic Demi" panose="020B0703020102020204" pitchFamily="34" charset="0"/>
              </a:rPr>
              <a:t>Energisignatur Wh/timme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8121831827954577E-2"/>
                  <c:y val="-0.57343187575596022"/>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sv-SE"/>
                </a:p>
              </c:txPr>
            </c:trendlineLbl>
          </c:trendline>
          <c:xVal>
            <c:numRef>
              <c:f>VFT!$O$14:$O$65</c:f>
              <c:numCache>
                <c:formatCode>0</c:formatCode>
                <c:ptCount val="52"/>
                <c:pt idx="0">
                  <c:v>1</c:v>
                </c:pt>
                <c:pt idx="1">
                  <c:v>10</c:v>
                </c:pt>
                <c:pt idx="2">
                  <c:v>5</c:v>
                </c:pt>
                <c:pt idx="3">
                  <c:v>-5</c:v>
                </c:pt>
              </c:numCache>
            </c:numRef>
          </c:xVal>
          <c:yVal>
            <c:numRef>
              <c:f>VFT!$Q$14:$Q$65</c:f>
              <c:numCache>
                <c:formatCode>#,##0.00</c:formatCode>
                <c:ptCount val="52"/>
                <c:pt idx="0">
                  <c:v>100</c:v>
                </c:pt>
                <c:pt idx="1">
                  <c:v>20</c:v>
                </c:pt>
                <c:pt idx="2">
                  <c:v>60</c:v>
                </c:pt>
                <c:pt idx="3">
                  <c:v>160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CA12-48A1-922D-52D2A6B99E0C}"/>
            </c:ext>
          </c:extLst>
        </c:ser>
        <c:dLbls>
          <c:showLegendKey val="0"/>
          <c:showVal val="0"/>
          <c:showCatName val="0"/>
          <c:showSerName val="0"/>
          <c:showPercent val="0"/>
          <c:showBubbleSize val="0"/>
        </c:dLbls>
        <c:axId val="1234509904"/>
        <c:axId val="938304416"/>
      </c:scatterChart>
      <c:valAx>
        <c:axId val="12345099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938304416"/>
        <c:crosses val="autoZero"/>
        <c:crossBetween val="midCat"/>
      </c:valAx>
      <c:valAx>
        <c:axId val="93830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1234509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uppvärmning</c:v>
          </c:tx>
          <c:spPr>
            <a:solidFill>
              <a:schemeClr val="accent1"/>
            </a:solidFill>
            <a:ln>
              <a:noFill/>
            </a:ln>
            <a:effectLst/>
          </c:spPr>
          <c:invertIfNegative val="0"/>
          <c:val>
            <c:numRef>
              <c:f>'C2. Inmatning och verifiering'!$AE$13:$AE$24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BD-4258-ABB9-C33D5A1751A6}"/>
            </c:ext>
          </c:extLst>
        </c:ser>
        <c:ser>
          <c:idx val="1"/>
          <c:order val="1"/>
          <c:tx>
            <c:v>Beräknad uppvärmning</c:v>
          </c:tx>
          <c:spPr>
            <a:solidFill>
              <a:schemeClr val="accent2"/>
            </a:solidFill>
            <a:ln>
              <a:noFill/>
            </a:ln>
            <a:effectLst/>
          </c:spPr>
          <c:invertIfNegative val="0"/>
          <c:val>
            <c:numRef>
              <c:f>'C2. Inmatning och verifiering'!$AF$13:$AF$24</c:f>
              <c:numCache>
                <c:formatCode>#,##0</c:formatCode>
                <c:ptCount val="12"/>
              </c:numCache>
            </c:numRef>
          </c:val>
          <c:extLst>
            <c:ext xmlns:c16="http://schemas.microsoft.com/office/drawing/2014/chart" uri="{C3380CC4-5D6E-409C-BE32-E72D297353CC}">
              <c16:uniqueId val="{00000002-6EBD-4258-ABB9-C33D5A1751A6}"/>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32205718187360644"/>
          <c:y val="6.6438009436538756E-2"/>
          <c:w val="0.43630323511640151"/>
          <c:h val="0.170525043166051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fjärrkyla</c:v>
          </c:tx>
          <c:spPr>
            <a:solidFill>
              <a:schemeClr val="accent1"/>
            </a:solidFill>
            <a:ln>
              <a:noFill/>
            </a:ln>
            <a:effectLst/>
          </c:spPr>
          <c:invertIfNegative val="0"/>
          <c:val>
            <c:numRef>
              <c:f>'C2. Inmatning och verifiering'!$AT$13:$AT$24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7B-44AE-94CC-91ABB78C32E1}"/>
            </c:ext>
          </c:extLst>
        </c:ser>
        <c:ser>
          <c:idx val="1"/>
          <c:order val="1"/>
          <c:tx>
            <c:v>Beräknad Fjärrkyla</c:v>
          </c:tx>
          <c:spPr>
            <a:solidFill>
              <a:schemeClr val="accent2"/>
            </a:solidFill>
            <a:ln>
              <a:noFill/>
            </a:ln>
            <a:effectLst/>
          </c:spPr>
          <c:invertIfNegative val="0"/>
          <c:val>
            <c:numRef>
              <c:f>'C2. Inmatning och verifiering'!$AV$13:$AV$24</c:f>
              <c:numCache>
                <c:formatCode>#,##0</c:formatCode>
                <c:ptCount val="12"/>
              </c:numCache>
            </c:numRef>
          </c:val>
          <c:extLst>
            <c:ext xmlns:c16="http://schemas.microsoft.com/office/drawing/2014/chart" uri="{C3380CC4-5D6E-409C-BE32-E72D297353CC}">
              <c16:uniqueId val="{00000001-797B-44AE-94CC-91ABB78C32E1}"/>
            </c:ext>
          </c:extLst>
        </c:ser>
        <c:ser>
          <c:idx val="2"/>
          <c:order val="2"/>
          <c:tx>
            <c:v>Normaliserad elkyla</c:v>
          </c:tx>
          <c:spPr>
            <a:solidFill>
              <a:schemeClr val="accent3"/>
            </a:solidFill>
            <a:ln>
              <a:noFill/>
            </a:ln>
            <a:effectLst/>
          </c:spPr>
          <c:invertIfNegative val="0"/>
          <c:val>
            <c:numRef>
              <c:f>'C2. Inmatning och verifiering'!$AU$13:$AU$24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97B-44AE-94CC-91ABB78C32E1}"/>
            </c:ext>
          </c:extLst>
        </c:ser>
        <c:ser>
          <c:idx val="3"/>
          <c:order val="3"/>
          <c:tx>
            <c:v>Beräknad elkyla</c:v>
          </c:tx>
          <c:spPr>
            <a:solidFill>
              <a:schemeClr val="accent4"/>
            </a:solidFill>
            <a:ln>
              <a:noFill/>
            </a:ln>
            <a:effectLst/>
          </c:spPr>
          <c:invertIfNegative val="0"/>
          <c:val>
            <c:numRef>
              <c:f>'C2. Inmatning och verifiering'!$AW$13:$AW$24</c:f>
              <c:numCache>
                <c:formatCode>#,##0</c:formatCode>
                <c:ptCount val="12"/>
              </c:numCache>
            </c:numRef>
          </c:val>
          <c:extLst>
            <c:ext xmlns:c16="http://schemas.microsoft.com/office/drawing/2014/chart" uri="{C3380CC4-5D6E-409C-BE32-E72D297353CC}">
              <c16:uniqueId val="{00000004-797B-44AE-94CC-91ABB78C32E1}"/>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66248267875979405"/>
          <c:y val="5.9181770499446354E-2"/>
          <c:w val="0.31596954525170812"/>
          <c:h val="0.3229060608449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0.png"/><Relationship Id="rId7"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chart" Target="../charts/chart3.xml"/><Relationship Id="rId4"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77257</xdr:colOff>
      <xdr:row>0</xdr:row>
      <xdr:rowOff>54743</xdr:rowOff>
    </xdr:from>
    <xdr:to>
      <xdr:col>1</xdr:col>
      <xdr:colOff>1343025</xdr:colOff>
      <xdr:row>0</xdr:row>
      <xdr:rowOff>555674</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257" y="54743"/>
          <a:ext cx="1382185" cy="500931"/>
        </a:xfrm>
        <a:prstGeom prst="rect">
          <a:avLst/>
        </a:prstGeom>
      </xdr:spPr>
    </xdr:pic>
    <xdr:clientData/>
  </xdr:twoCellAnchor>
  <xdr:oneCellAnchor>
    <xdr:from>
      <xdr:col>8</xdr:col>
      <xdr:colOff>97364</xdr:colOff>
      <xdr:row>2</xdr:row>
      <xdr:rowOff>132291</xdr:rowOff>
    </xdr:from>
    <xdr:ext cx="3797301" cy="3258609"/>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11019364" y="1349374"/>
          <a:ext cx="3797301" cy="325860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itchFamily="34" charset="0"/>
              <a:ea typeface="+mn-ea"/>
              <a:cs typeface="+mn-cs"/>
            </a:rPr>
            <a:t>Anvisning</a:t>
          </a:r>
        </a:p>
        <a:p>
          <a:r>
            <a:rPr lang="sv-SE" sz="1000">
              <a:solidFill>
                <a:sysClr val="windowText" lastClr="000000"/>
              </a:solidFill>
              <a:effectLst/>
              <a:latin typeface="Franklin Gothic Book" panose="020B0503020102020204" pitchFamily="34" charset="0"/>
              <a:ea typeface="+mn-ea"/>
              <a:cs typeface="+mn-cs"/>
            </a:rPr>
            <a:t>Formuläret kan användas för olika byggnadstyper genom att fylla i relevanta vita</a:t>
          </a:r>
          <a:r>
            <a:rPr lang="sv-SE" sz="1000" baseline="0">
              <a:solidFill>
                <a:sysClr val="windowText" lastClr="000000"/>
              </a:solidFill>
              <a:effectLst/>
              <a:latin typeface="Franklin Gothic Book" panose="020B0503020102020204" pitchFamily="34" charset="0"/>
              <a:ea typeface="+mn-ea"/>
              <a:cs typeface="+mn-cs"/>
            </a:rPr>
            <a:t> rutor för den aktuella byggnaden. </a:t>
          </a:r>
          <a:r>
            <a:rPr lang="sv-SE" sz="1000">
              <a:solidFill>
                <a:schemeClr val="dk1"/>
              </a:solidFill>
              <a:effectLst/>
              <a:latin typeface="Franklin Gothic Book" panose="020B0503020102020204" pitchFamily="34" charset="0"/>
              <a:ea typeface="+mn-ea"/>
              <a:cs typeface="+mn-cs"/>
            </a:rPr>
            <a:t>OBS</a:t>
          </a:r>
          <a:r>
            <a:rPr lang="sv-SE" sz="1000" baseline="0">
              <a:solidFill>
                <a:schemeClr val="dk1"/>
              </a:solidFill>
              <a:effectLst/>
              <a:latin typeface="Franklin Gothic Book" panose="020B0503020102020204" pitchFamily="34" charset="0"/>
              <a:ea typeface="+mn-ea"/>
              <a:cs typeface="+mn-cs"/>
            </a:rPr>
            <a:t> att endast vita rutor ska fyllas i.</a:t>
          </a:r>
          <a:r>
            <a:rPr lang="sv-SE" sz="1000" baseline="0">
              <a:solidFill>
                <a:sysClr val="windowText" lastClr="000000"/>
              </a:solidFill>
              <a:effectLst/>
              <a:latin typeface="Franklin Gothic Book" panose="020B0503020102020204" pitchFamily="34" charset="0"/>
              <a:ea typeface="+mn-ea"/>
              <a:cs typeface="+mn-cs"/>
            </a:rPr>
            <a:t> </a:t>
          </a:r>
        </a:p>
        <a:p>
          <a:r>
            <a:rPr lang="sv-SE" sz="1000">
              <a:solidFill>
                <a:sysClr val="windowText" lastClr="000000"/>
              </a:solidFill>
              <a:effectLst/>
              <a:latin typeface="Franklin Gothic Book" panose="020B0503020102020204" pitchFamily="34" charset="0"/>
              <a:ea typeface="+mn-ea"/>
              <a:cs typeface="+mn-cs"/>
            </a:rPr>
            <a:t>Formuläret fylls i och</a:t>
          </a:r>
          <a:r>
            <a:rPr lang="sv-SE" sz="1000" baseline="0">
              <a:solidFill>
                <a:sysClr val="windowText" lastClr="000000"/>
              </a:solidFill>
              <a:effectLst/>
              <a:latin typeface="Franklin Gothic Book" panose="020B0503020102020204" pitchFamily="34" charset="0"/>
              <a:ea typeface="+mn-ea"/>
              <a:cs typeface="+mn-cs"/>
            </a:rPr>
            <a:t> uppdateras </a:t>
          </a:r>
          <a:r>
            <a:rPr lang="sv-SE" sz="1000">
              <a:solidFill>
                <a:sysClr val="windowText" lastClr="000000"/>
              </a:solidFill>
              <a:effectLst/>
              <a:latin typeface="Franklin Gothic Book" panose="020B0503020102020204" pitchFamily="34" charset="0"/>
              <a:ea typeface="+mn-ea"/>
              <a:cs typeface="+mn-cs"/>
            </a:rPr>
            <a:t>under processens gång. </a:t>
          </a:r>
          <a:r>
            <a:rPr lang="sv-SE" sz="1000" baseline="0">
              <a:solidFill>
                <a:sysClr val="windowText" lastClr="000000"/>
              </a:solidFill>
              <a:effectLst/>
              <a:latin typeface="Franklin Gothic Book" panose="020B0503020102020204" pitchFamily="34" charset="0"/>
              <a:ea typeface="+mn-ea"/>
              <a:cs typeface="+mn-cs"/>
            </a:rPr>
            <a:t> Det innehåller vissa inmatningskontroller och uträkningar. Instruktioner finns även i de rutor som har röda trianglar i övre högra hörnet.</a:t>
          </a:r>
          <a:br>
            <a:rPr lang="sv-SE" sz="1000" baseline="0">
              <a:solidFill>
                <a:sysClr val="windowText" lastClr="000000"/>
              </a:solidFill>
              <a:effectLst/>
              <a:latin typeface="Franklin Gothic Book" panose="020B0503020102020204" pitchFamily="34" charset="0"/>
              <a:ea typeface="+mn-ea"/>
              <a:cs typeface="+mn-cs"/>
            </a:rPr>
          </a:br>
          <a:r>
            <a:rPr lang="sv-SE" sz="1000" baseline="0">
              <a:solidFill>
                <a:sysClr val="windowText" lastClr="000000"/>
              </a:solidFill>
              <a:effectLst/>
              <a:latin typeface="Franklin Gothic Book" panose="020B0503020102020204" pitchFamily="34" charset="0"/>
              <a:ea typeface="+mn-ea"/>
              <a:cs typeface="+mn-cs"/>
            </a:rPr>
            <a:t>Formuläret</a:t>
          </a:r>
          <a:r>
            <a:rPr lang="sv-SE" sz="1000">
              <a:solidFill>
                <a:sysClr val="windowText" lastClr="000000"/>
              </a:solidFill>
              <a:effectLst/>
              <a:latin typeface="Franklin Gothic Book" panose="020B0503020102020204" pitchFamily="34" charset="0"/>
              <a:ea typeface="+mn-ea"/>
              <a:cs typeface="+mn-cs"/>
            </a:rPr>
            <a:t> innehåller följande huvuddelar:</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A.</a:t>
          </a:r>
          <a:r>
            <a:rPr lang="sv-SE" sz="1000" baseline="0">
              <a:solidFill>
                <a:sysClr val="windowText" lastClr="000000"/>
              </a:solidFill>
              <a:effectLst/>
              <a:latin typeface="Franklin Gothic Book" panose="020B0503020102020204" pitchFamily="34" charset="0"/>
              <a:ea typeface="+mn-ea"/>
              <a:cs typeface="+mn-cs"/>
            </a:rPr>
            <a:t> </a:t>
          </a:r>
          <a:br>
            <a:rPr lang="sv-SE" sz="1000" baseline="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Kontaktuppgifter, byggnads-ID, egenskaper, underlag</a:t>
          </a:r>
          <a:r>
            <a:rPr lang="sv-SE" sz="1000" baseline="0">
              <a:solidFill>
                <a:sysClr val="windowText" lastClr="000000"/>
              </a:solidFill>
              <a:effectLst/>
              <a:latin typeface="Franklin Gothic Book" panose="020B0503020102020204" pitchFamily="34" charset="0"/>
              <a:ea typeface="+mn-ea"/>
              <a:cs typeface="+mn-cs"/>
            </a:rPr>
            <a:t> för beräkning av primärenergital och mätning samt</a:t>
          </a:r>
          <a:r>
            <a:rPr lang="sv-SE" sz="1000">
              <a:solidFill>
                <a:sysClr val="windowText" lastClr="000000"/>
              </a:solidFill>
              <a:effectLst/>
              <a:latin typeface="Franklin Gothic Book" panose="020B0503020102020204" pitchFamily="34" charset="0"/>
              <a:ea typeface="+mn-ea"/>
              <a:cs typeface="+mn-cs"/>
            </a:rPr>
            <a:t> planerad verksamhet i byggnaden (enligt energideklarationsblanketten). BBR-krav och kravuppfyllelse, samt underlag för BBR-kravberäkningen, för att visa på krav enligt BBR kapitel 9.</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B.</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Beräknad energianvändning i olka skeden. Uppdelat</a:t>
          </a:r>
          <a:r>
            <a:rPr lang="sv-SE" sz="1000" baseline="0">
              <a:solidFill>
                <a:sysClr val="windowText" lastClr="000000"/>
              </a:solidFill>
              <a:effectLst/>
              <a:latin typeface="Franklin Gothic Book" panose="020B0503020102020204" pitchFamily="34" charset="0"/>
              <a:ea typeface="+mn-ea"/>
              <a:cs typeface="+mn-cs"/>
            </a:rPr>
            <a:t> beräkningsresultat och i</a:t>
          </a:r>
          <a:r>
            <a:rPr lang="sv-SE" sz="1000">
              <a:solidFill>
                <a:sysClr val="windowText" lastClr="000000"/>
              </a:solidFill>
              <a:effectLst/>
              <a:latin typeface="Franklin Gothic Book" panose="020B0503020102020204" pitchFamily="34" charset="0"/>
              <a:ea typeface="+mn-ea"/>
              <a:cs typeface="+mn-cs"/>
            </a:rPr>
            <a:t>ndata för energiberäkning.</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C.</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Uppföljning och verifiering med mätning </a:t>
          </a:r>
          <a:r>
            <a:rPr lang="sv-SE" sz="1000">
              <a:solidFill>
                <a:schemeClr val="dk1"/>
              </a:solidFill>
              <a:effectLst/>
              <a:latin typeface="Franklin Gothic Book" panose="020B0503020102020204" pitchFamily="34" charset="0"/>
              <a:ea typeface="+mn-ea"/>
              <a:cs typeface="+mn-cs"/>
            </a:rPr>
            <a:t>enligt BBR och BEN.</a:t>
          </a:r>
          <a:r>
            <a:rPr lang="sv-SE" sz="1000" baseline="0">
              <a:solidFill>
                <a:schemeClr val="dk1"/>
              </a:solidFill>
              <a:effectLst/>
              <a:latin typeface="Franklin Gothic Book" panose="020B0503020102020204" pitchFamily="34" charset="0"/>
              <a:ea typeface="+mn-ea"/>
              <a:cs typeface="+mn-cs"/>
            </a:rPr>
            <a:t> </a:t>
          </a:r>
          <a:r>
            <a:rPr lang="sv-SE" sz="1000">
              <a:solidFill>
                <a:sysClr val="windowText" lastClr="000000"/>
              </a:solidFill>
              <a:effectLst/>
              <a:latin typeface="Franklin Gothic Book" panose="020B0503020102020204" pitchFamily="34" charset="0"/>
              <a:ea typeface="+mn-ea"/>
              <a:cs typeface="+mn-cs"/>
            </a:rPr>
            <a:t>Månadsvis med schabloniserad normalisering enligt BEN,</a:t>
          </a:r>
          <a:r>
            <a:rPr lang="sv-SE" sz="1000" baseline="0">
              <a:solidFill>
                <a:sysClr val="windowText" lastClr="000000"/>
              </a:solidFill>
              <a:effectLst/>
              <a:latin typeface="Franklin Gothic Book" panose="020B0503020102020204" pitchFamily="34" charset="0"/>
              <a:ea typeface="+mn-ea"/>
              <a:cs typeface="+mn-cs"/>
            </a:rPr>
            <a:t> alternativt  årsvis med upprepad energiberäkning enligt BEN.</a:t>
          </a:r>
          <a:endParaRPr lang="sv-SE" sz="1000">
            <a:solidFill>
              <a:sysClr val="windowText" lastClr="000000"/>
            </a:solidFill>
            <a:latin typeface="Franklin Gothic Book" panose="020B0503020102020204" pitchFamily="34" charset="0"/>
            <a:ea typeface="+mn-ea"/>
            <a:cs typeface="+mn-cs"/>
          </a:endParaRPr>
        </a:p>
      </xdr:txBody>
    </xdr:sp>
    <xdr:clientData/>
  </xdr:oneCellAnchor>
  <xdr:oneCellAnchor>
    <xdr:from>
      <xdr:col>1</xdr:col>
      <xdr:colOff>0</xdr:colOff>
      <xdr:row>53</xdr:row>
      <xdr:rowOff>0</xdr:rowOff>
    </xdr:from>
    <xdr:ext cx="9376833" cy="3005667"/>
    <xdr:sp macro="" textlink="">
      <xdr:nvSpPr>
        <xdr:cNvPr id="10" name="textruta 9">
          <a:extLst>
            <a:ext uri="{FF2B5EF4-FFF2-40B4-BE49-F238E27FC236}">
              <a16:creationId xmlns:a16="http://schemas.microsoft.com/office/drawing/2014/main" id="{00000000-0008-0000-0000-00000A000000}"/>
            </a:ext>
          </a:extLst>
        </xdr:cNvPr>
        <xdr:cNvSpPr txBox="1"/>
      </xdr:nvSpPr>
      <xdr:spPr>
        <a:xfrm>
          <a:off x="116417" y="11557000"/>
          <a:ext cx="9376833" cy="30056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457200" indent="-457200">
            <a:tabLst>
              <a:tab pos="457200" algn="l"/>
              <a:tab pos="828040" algn="l"/>
            </a:tabLst>
          </a:pPr>
          <a:r>
            <a:rPr lang="sv-SE" sz="1200" b="0">
              <a:effectLst/>
              <a:latin typeface="Franklin Gothic Demi" panose="020B0703020102020204" pitchFamily="34" charset="0"/>
              <a:cs typeface="Times New Roman" panose="02020603050405020304" pitchFamily="18" charset="0"/>
            </a:rPr>
            <a:t>Syfte och avgränsning</a:t>
          </a:r>
          <a:endParaRPr lang="sv-SE" sz="1100" b="0">
            <a:effectLst/>
            <a:latin typeface="Arial" panose="020B0604020202020204" pitchFamily="34" charset="0"/>
            <a:cs typeface="Times New Roman" panose="02020603050405020304" pitchFamily="18" charset="0"/>
          </a:endParaRPr>
        </a:p>
        <a:p>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Syftet med </a:t>
          </a:r>
          <a:r>
            <a:rPr lang="sv-SE" sz="1100" b="0">
              <a:effectLst/>
              <a:latin typeface="Franklin Gothic Book" panose="020B0503020102020204" pitchFamily="34" charset="0"/>
              <a:ea typeface="Times New Roman" panose="02020603050405020304" pitchFamily="18" charset="0"/>
              <a:cs typeface="Times New Roman" panose="02020603050405020304" pitchFamily="18" charset="0"/>
            </a:rPr>
            <a:t>detta formulär är att </a:t>
          </a:r>
          <a:r>
            <a:rPr lang="sv-SE" sz="1100" b="0">
              <a:effectLst/>
              <a:latin typeface="Franklin Gothic Demi" panose="020B0703020102020204" pitchFamily="34" charset="0"/>
              <a:ea typeface="Times New Roman" panose="02020603050405020304" pitchFamily="18" charset="0"/>
              <a:cs typeface="Times New Roman" panose="02020603050405020304" pitchFamily="18" charset="0"/>
            </a:rPr>
            <a:t>underlätta kommunernas granskning och vara ett stöd för byggherrens egenkontroll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av att aktuell byggnad har tillräckliga förutsättningar för att uppfylla lagkrav eller andra krav för energianvändning och att denna ska kunna verifieras. Det täcker därmed även in stora delar av underlaget för den första energideklarationen. En möjlighet är att koppla blanketten för direkt export till energideklarationsdatabasen Gripen. Vi vill poängtera att det inte finns något krav att använda formuläret, men en standardisering torde i regel påskynda och underlätta hanteringen. </a:t>
          </a:r>
          <a:r>
            <a:rPr lang="sv-SE" sz="1100">
              <a:solidFill>
                <a:schemeClr val="dk1"/>
              </a:solidFill>
              <a:effectLst/>
              <a:latin typeface="Franklin Gothic Book" panose="020B0503020102020204" pitchFamily="34" charset="0"/>
              <a:ea typeface="+mn-ea"/>
              <a:cs typeface="+mn-cs"/>
            </a:rPr>
            <a:t>Syftet med detta formulär är också att underlätta kravställarens (beställarens) granskning.</a:t>
          </a:r>
        </a:p>
        <a:p>
          <a:pPr indent="180340"/>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Formuläret</a:t>
          </a:r>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är tänkt att i berörda delar fyllas i av energiberäknare/projektör/entreprenör/byggherre, ingå i kontrollplanen och bifogas vid redovisning inför startbesked, eller i ett något senare skede. Formuläret, och den energiberäkning det baseras på, uppdateras under processens gång samt inför genomgång inför slutbesked (relation). Det är även ett underlag för verifiering av energikraven i energideklarationen, genom uppmätta värden eller beräkning. </a:t>
          </a:r>
          <a:r>
            <a:rPr lang="sv-SE" sz="1100">
              <a:solidFill>
                <a:schemeClr val="dk1"/>
              </a:solidFill>
              <a:effectLst/>
              <a:latin typeface="Franklin Gothic Book" panose="020B0503020102020204" pitchFamily="34" charset="0"/>
              <a:ea typeface="+mn-ea"/>
              <a:cs typeface="+mn-cs"/>
            </a:rPr>
            <a:t>Formuläret är samtidigt en redovisning av om beställarens/byggherrens krav har uppnåtts eller inte.</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pPr indent="180340"/>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Kommunens kontroll med stöd av detta formulär är tänkt att kunna göras med olika ambitionsnivå, från övergripande uppgifter om fastigheten och de summerade energikraven, till en närmare gran­skning av bakgrundsuppgifter som använts för redovisad energianvändning enligt BBR. </a:t>
          </a:r>
        </a:p>
        <a:p>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Lagkraven ställs i PBL 10 kap. om genomförande av byggåtgärder, i BBR 9 kap. om energihushållningskraven, i BEN (BFS 2020:4) om fastställande av byggnadens energianvändning vid normalt brukande och ett normalår samt i Lag (2006:985) om energideklaration för byggnader.</a:t>
          </a:r>
        </a:p>
        <a:p>
          <a:pPr indent="180340"/>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Formuläret täcker inte alla uppgifter som kan vara relevanta för säkerställande av energiprestanda i en kontrollplan (t.ex termografering). Att detta formulär endast omfattar energihushållning innebär inte att det ska ses som viktigare än övriga funktionskrav i BBR. Ur kommunens perspektiv är det viktigast att byggherrens hela kontrollorganisation fungerar.</a:t>
          </a:r>
        </a:p>
        <a:p>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br>
            <a:rPr lang="sv-SE" sz="1000">
              <a:effectLst/>
              <a:latin typeface="Franklin Gothic Book" panose="020B0503020102020204" pitchFamily="34" charset="0"/>
              <a:ea typeface="Times New Roman" panose="02020603050405020304" pitchFamily="18" charset="0"/>
              <a:cs typeface="Arial" panose="020B0604020202020204" pitchFamily="34" charset="0"/>
            </a:rPr>
          </a:br>
          <a:r>
            <a:rPr lang="sv-SE" sz="1000">
              <a:effectLst/>
              <a:latin typeface="Franklin Gothic Book" panose="020B0503020102020204" pitchFamily="34" charset="0"/>
              <a:ea typeface="Times New Roman" panose="02020603050405020304" pitchFamily="18" charset="0"/>
              <a:cs typeface="Arial" panose="020B0604020202020204" pitchFamily="34" charset="0"/>
            </a:rPr>
            <a:t> </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endParaRPr lang="sv-SE" sz="1000">
            <a:effectLst/>
            <a:latin typeface="Franklin Gothic Book" panose="020B0503020102020204" pitchFamily="34" charset="0"/>
            <a:ea typeface="Times New Roman" panose="02020603050405020304" pitchFamily="18" charset="0"/>
            <a:cs typeface="Times New Roman" panose="02020603050405020304" pitchFamily="18"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7</xdr:col>
      <xdr:colOff>1421074</xdr:colOff>
      <xdr:row>0</xdr:row>
      <xdr:rowOff>85725</xdr:rowOff>
    </xdr:from>
    <xdr:to>
      <xdr:col>7</xdr:col>
      <xdr:colOff>2543175</xdr:colOff>
      <xdr:row>0</xdr:row>
      <xdr:rowOff>571500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55349" y="85725"/>
          <a:ext cx="1122101" cy="485775"/>
        </a:xfrm>
        <a:prstGeom prst="rect">
          <a:avLst/>
        </a:prstGeom>
      </xdr:spPr>
    </xdr:pic>
    <xdr:clientData/>
  </xdr:twoCellAnchor>
  <xdr:twoCellAnchor editAs="oneCell">
    <xdr:from>
      <xdr:col>7</xdr:col>
      <xdr:colOff>2619376</xdr:colOff>
      <xdr:row>0</xdr:row>
      <xdr:rowOff>38099</xdr:rowOff>
    </xdr:from>
    <xdr:to>
      <xdr:col>8</xdr:col>
      <xdr:colOff>361083</xdr:colOff>
      <xdr:row>0</xdr:row>
      <xdr:rowOff>530784</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0153651" y="38099"/>
          <a:ext cx="1142132" cy="49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23</xdr:row>
          <xdr:rowOff>200025</xdr:rowOff>
        </xdr:from>
        <xdr:to>
          <xdr:col>6</xdr:col>
          <xdr:colOff>552450</xdr:colOff>
          <xdr:row>25</xdr:row>
          <xdr:rowOff>9525</xdr:rowOff>
        </xdr:to>
        <xdr:sp macro="" textlink="">
          <xdr:nvSpPr>
            <xdr:cNvPr id="71729" name="Kryssruta 20" hidden="1">
              <a:extLst>
                <a:ext uri="{63B3BB69-23CF-44E3-9099-C40C66FF867C}">
                  <a14:compatExt spid="_x0000_s71729"/>
                </a:ext>
                <a:ext uri="{FF2B5EF4-FFF2-40B4-BE49-F238E27FC236}">
                  <a16:creationId xmlns:a16="http://schemas.microsoft.com/office/drawing/2014/main" id="{00000000-0008-0000-01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171450</xdr:rowOff>
        </xdr:from>
        <xdr:to>
          <xdr:col>6</xdr:col>
          <xdr:colOff>409575</xdr:colOff>
          <xdr:row>23</xdr:row>
          <xdr:rowOff>57150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1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200025</xdr:rowOff>
        </xdr:from>
        <xdr:to>
          <xdr:col>7</xdr:col>
          <xdr:colOff>228600</xdr:colOff>
          <xdr:row>8</xdr:row>
          <xdr:rowOff>9525</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1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190500</xdr:rowOff>
        </xdr:from>
        <xdr:to>
          <xdr:col>8</xdr:col>
          <xdr:colOff>409575</xdr:colOff>
          <xdr:row>26</xdr:row>
          <xdr:rowOff>209550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1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Variabelt flöde (VAV)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180975</xdr:rowOff>
        </xdr:from>
        <xdr:to>
          <xdr:col>7</xdr:col>
          <xdr:colOff>647700</xdr:colOff>
          <xdr:row>26</xdr:row>
          <xdr:rowOff>28575</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1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Konstant flöde (CAV)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xdr:row>
          <xdr:rowOff>0</xdr:rowOff>
        </xdr:from>
        <xdr:to>
          <xdr:col>7</xdr:col>
          <xdr:colOff>247650</xdr:colOff>
          <xdr:row>6</xdr:row>
          <xdr:rowOff>28575</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1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0</xdr:rowOff>
        </xdr:from>
        <xdr:to>
          <xdr:col>7</xdr:col>
          <xdr:colOff>180975</xdr:colOff>
          <xdr:row>7</xdr:row>
          <xdr:rowOff>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1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171450</xdr:rowOff>
        </xdr:from>
        <xdr:to>
          <xdr:col>7</xdr:col>
          <xdr:colOff>561975</xdr:colOff>
          <xdr:row>27</xdr:row>
          <xdr:rowOff>200025</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1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 Annat system, 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123825</xdr:rowOff>
        </xdr:from>
        <xdr:to>
          <xdr:col>6</xdr:col>
          <xdr:colOff>695325</xdr:colOff>
          <xdr:row>19</xdr:row>
          <xdr:rowOff>57150</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1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152400</xdr:rowOff>
        </xdr:from>
        <xdr:to>
          <xdr:col>7</xdr:col>
          <xdr:colOff>38100</xdr:colOff>
          <xdr:row>19</xdr:row>
          <xdr:rowOff>180975</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1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190500</xdr:rowOff>
        </xdr:from>
        <xdr:to>
          <xdr:col>7</xdr:col>
          <xdr:colOff>219075</xdr:colOff>
          <xdr:row>20</xdr:row>
          <xdr:rowOff>190500</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1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Frikyla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0</xdr:rowOff>
        </xdr:from>
        <xdr:to>
          <xdr:col>8</xdr:col>
          <xdr:colOff>28575</xdr:colOff>
          <xdr:row>11</xdr:row>
          <xdr:rowOff>28575</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1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Elvärmda badrumsgolv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190500</xdr:rowOff>
        </xdr:from>
        <xdr:to>
          <xdr:col>8</xdr:col>
          <xdr:colOff>409575</xdr:colOff>
          <xdr:row>13</xdr:row>
          <xdr:rowOff>9525</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1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Handdukstork (el) som radiator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171450</xdr:rowOff>
        </xdr:from>
        <xdr:to>
          <xdr:col>8</xdr:col>
          <xdr:colOff>609600</xdr:colOff>
          <xdr:row>12</xdr:row>
          <xdr:rowOff>9525</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1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Elvärmd tilluft i lägenehter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228600</xdr:colOff>
          <xdr:row>14</xdr:row>
          <xdr:rowOff>28575</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1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161925</xdr:rowOff>
        </xdr:from>
        <xdr:to>
          <xdr:col>7</xdr:col>
          <xdr:colOff>219075</xdr:colOff>
          <xdr:row>15</xdr:row>
          <xdr:rowOff>28575</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1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161925</xdr:rowOff>
        </xdr:from>
        <xdr:to>
          <xdr:col>7</xdr:col>
          <xdr:colOff>247650</xdr:colOff>
          <xdr:row>16</xdr:row>
          <xdr:rowOff>28575</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1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180975</xdr:rowOff>
        </xdr:from>
        <xdr:to>
          <xdr:col>8</xdr:col>
          <xdr:colOff>266700</xdr:colOff>
          <xdr:row>17</xdr:row>
          <xdr:rowOff>0</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1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Solfångare för tappvarmvatten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180975</xdr:rowOff>
        </xdr:from>
        <xdr:to>
          <xdr:col>8</xdr:col>
          <xdr:colOff>57150</xdr:colOff>
          <xdr:row>9</xdr:row>
          <xdr:rowOff>28575</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1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Solfångare för 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190500</xdr:rowOff>
        </xdr:from>
        <xdr:to>
          <xdr:col>8</xdr:col>
          <xdr:colOff>323850</xdr:colOff>
          <xdr:row>17</xdr:row>
          <xdr:rowOff>180975</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1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Energieffektiva armaturer (A-klass)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171450</xdr:rowOff>
        </xdr:from>
        <xdr:to>
          <xdr:col>6</xdr:col>
          <xdr:colOff>409575</xdr:colOff>
          <xdr:row>24</xdr:row>
          <xdr:rowOff>38100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1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FX</a:t>
              </a:r>
            </a:p>
          </xdr:txBody>
        </xdr:sp>
        <xdr:clientData fLocksWithSheet="0"/>
      </xdr:twoCellAnchor>
    </mc:Choice>
    <mc:Fallback/>
  </mc:AlternateContent>
  <xdr:twoCellAnchor editAs="oneCell">
    <xdr:from>
      <xdr:col>0</xdr:col>
      <xdr:colOff>107157</xdr:colOff>
      <xdr:row>0</xdr:row>
      <xdr:rowOff>71438</xdr:rowOff>
    </xdr:from>
    <xdr:to>
      <xdr:col>1</xdr:col>
      <xdr:colOff>1549952</xdr:colOff>
      <xdr:row>3</xdr:row>
      <xdr:rowOff>79681</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7157" y="71438"/>
          <a:ext cx="1609483" cy="603556"/>
        </a:xfrm>
        <a:prstGeom prst="rect">
          <a:avLst/>
        </a:prstGeom>
      </xdr:spPr>
    </xdr:pic>
    <xdr:clientData/>
  </xdr:twoCellAnchor>
  <xdr:twoCellAnchor editAs="oneCell">
    <xdr:from>
      <xdr:col>12</xdr:col>
      <xdr:colOff>119062</xdr:colOff>
      <xdr:row>0</xdr:row>
      <xdr:rowOff>82021</xdr:rowOff>
    </xdr:from>
    <xdr:to>
      <xdr:col>14</xdr:col>
      <xdr:colOff>147382</xdr:colOff>
      <xdr:row>3</xdr:row>
      <xdr:rowOff>124175</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1295062" y="82021"/>
          <a:ext cx="1467653" cy="634821"/>
        </a:xfrm>
        <a:prstGeom prst="rect">
          <a:avLst/>
        </a:prstGeom>
      </xdr:spPr>
    </xdr:pic>
    <xdr:clientData/>
  </xdr:twoCellAnchor>
  <xdr:twoCellAnchor editAs="oneCell">
    <xdr:from>
      <xdr:col>1</xdr:col>
      <xdr:colOff>35717</xdr:colOff>
      <xdr:row>75</xdr:row>
      <xdr:rowOff>47626</xdr:rowOff>
    </xdr:from>
    <xdr:to>
      <xdr:col>3</xdr:col>
      <xdr:colOff>465666</xdr:colOff>
      <xdr:row>98</xdr:row>
      <xdr:rowOff>17471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202405" y="16525876"/>
          <a:ext cx="5083969" cy="4410876"/>
        </a:xfrm>
        <a:prstGeom prst="rect">
          <a:avLst/>
        </a:prstGeom>
      </xdr:spPr>
    </xdr:pic>
    <xdr:clientData/>
  </xdr:twoCellAnchor>
  <xdr:twoCellAnchor editAs="oneCell">
    <xdr:from>
      <xdr:col>5</xdr:col>
      <xdr:colOff>47626</xdr:colOff>
      <xdr:row>75</xdr:row>
      <xdr:rowOff>47624</xdr:rowOff>
    </xdr:from>
    <xdr:to>
      <xdr:col>13</xdr:col>
      <xdr:colOff>446911</xdr:colOff>
      <xdr:row>97</xdr:row>
      <xdr:rowOff>166935</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453189" y="16525874"/>
          <a:ext cx="6114286" cy="4369842"/>
        </a:xfrm>
        <a:prstGeom prst="rect">
          <a:avLst/>
        </a:prstGeom>
        <a:ln w="12700">
          <a:solidFill>
            <a:schemeClr val="tx1"/>
          </a:solidFill>
        </a:ln>
      </xdr:spPr>
    </xdr:pic>
    <xdr:clientData/>
  </xdr:twoCellAnchor>
  <xdr:oneCellAnchor>
    <xdr:from>
      <xdr:col>18</xdr:col>
      <xdr:colOff>141023</xdr:colOff>
      <xdr:row>28</xdr:row>
      <xdr:rowOff>204260</xdr:rowOff>
    </xdr:from>
    <xdr:ext cx="2655095" cy="2207416"/>
    <xdr:sp macro="" textlink="">
      <xdr:nvSpPr>
        <xdr:cNvPr id="30" name="textruta 29">
          <a:extLst>
            <a:ext uri="{FF2B5EF4-FFF2-40B4-BE49-F238E27FC236}">
              <a16:creationId xmlns:a16="http://schemas.microsoft.com/office/drawing/2014/main" id="{00000000-0008-0000-0100-00001E000000}"/>
            </a:ext>
          </a:extLst>
        </xdr:cNvPr>
        <xdr:cNvSpPr txBox="1"/>
      </xdr:nvSpPr>
      <xdr:spPr>
        <a:xfrm>
          <a:off x="15709106" y="5993343"/>
          <a:ext cx="2655095" cy="2207416"/>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Här anger byggherren mätinstallationer för att säkerställa att byggnadens energianvändning och primärenergital kan verifieras med mätning och normalisering enligt BEN. Enligt BBR ska byggnadens energianvändning kontinuerligt kunna följas upp genom ett mätsystem som kan avläsas så att energianvändningen för önskad tidsperiod kan fastställas. Enligt allmänt råd bör uppvärmning, komfortkyla, tappvarmvatten och fastighetsenergi kunna mätas separat. (BBR 9:7).</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8</xdr:row>
          <xdr:rowOff>190500</xdr:rowOff>
        </xdr:from>
        <xdr:to>
          <xdr:col>9</xdr:col>
          <xdr:colOff>171450</xdr:colOff>
          <xdr:row>9</xdr:row>
          <xdr:rowOff>190500</xdr:rowOff>
        </xdr:to>
        <xdr:sp macro="" textlink="">
          <xdr:nvSpPr>
            <xdr:cNvPr id="71813" name="Check Box 133" hidden="1">
              <a:extLst>
                <a:ext uri="{63B3BB69-23CF-44E3-9099-C40C66FF867C}">
                  <a14:compatExt spid="_x0000_s71813"/>
                </a:ext>
                <a:ext uri="{FF2B5EF4-FFF2-40B4-BE49-F238E27FC236}">
                  <a16:creationId xmlns:a16="http://schemas.microsoft.com/office/drawing/2014/main" id="{00000000-0008-0000-0100-00008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 Värmeslinga (el) för snösmältning / komfort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200025</xdr:rowOff>
        </xdr:from>
        <xdr:to>
          <xdr:col>7</xdr:col>
          <xdr:colOff>219075</xdr:colOff>
          <xdr:row>22</xdr:row>
          <xdr:rowOff>0</xdr:rowOff>
        </xdr:to>
        <xdr:sp macro="" textlink="">
          <xdr:nvSpPr>
            <xdr:cNvPr id="71814" name="Check Box 134" hidden="1">
              <a:extLst>
                <a:ext uri="{63B3BB69-23CF-44E3-9099-C40C66FF867C}">
                  <a14:compatExt spid="_x0000_s71814"/>
                </a:ext>
                <a:ext uri="{FF2B5EF4-FFF2-40B4-BE49-F238E27FC236}">
                  <a16:creationId xmlns:a16="http://schemas.microsoft.com/office/drawing/2014/main" id="{00000000-0008-0000-0100-00008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Solceller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42861</xdr:colOff>
      <xdr:row>0</xdr:row>
      <xdr:rowOff>0</xdr:rowOff>
    </xdr:from>
    <xdr:ext cx="5873222" cy="1567657"/>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1663361" y="0"/>
          <a:ext cx="5873222" cy="15676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Fyll i uppdelat beräkningsresultat i tillämpliga vita rutor i tabellen, kWh/m2Atemp. Tabellen är till för att möjliggöra granskning av hur beräkningsresultatet tagits fram. Kompletteras även med indatasidorna.</a:t>
          </a:r>
        </a:p>
        <a:p>
          <a:r>
            <a:rPr lang="sv-SE" sz="1000">
              <a:solidFill>
                <a:schemeClr val="dk1"/>
              </a:solidFill>
              <a:latin typeface="Franklin Gothic Book" panose="020B0503020102020204" pitchFamily="34" charset="0"/>
              <a:ea typeface="+mn-ea"/>
              <a:cs typeface="+mn-cs"/>
            </a:rPr>
            <a:t>Vissa resultat länkas vidare till andra flikar.</a:t>
          </a:r>
        </a:p>
        <a:p>
          <a:r>
            <a:rPr lang="sv-SE" sz="1000">
              <a:solidFill>
                <a:schemeClr val="dk1"/>
              </a:solidFill>
              <a:latin typeface="Franklin Gothic Book" panose="020B0503020102020204" pitchFamily="34" charset="0"/>
              <a:ea typeface="+mn-ea"/>
              <a:cs typeface="+mn-cs"/>
            </a:rPr>
            <a:t>Enligt BEN ska beräkningar göras med säkerhetsmarginal. Det kan göras i delar för olika förluster och vädring och/eller som ett generellt påslag på hela beräkningen. </a:t>
          </a:r>
        </a:p>
        <a:p>
          <a:r>
            <a:rPr lang="sv-SE" sz="1000">
              <a:solidFill>
                <a:schemeClr val="dk1"/>
              </a:solidFill>
              <a:latin typeface="Franklin Gothic Book" panose="020B0503020102020204" pitchFamily="34" charset="0"/>
              <a:ea typeface="+mn-ea"/>
              <a:cs typeface="+mn-cs"/>
            </a:rPr>
            <a:t>Vid beräkning av energianvändningen används normalt utomhusklimat för orten.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Månadsresultat</a:t>
          </a:r>
          <a:r>
            <a:rPr lang="sv-SE" sz="1000" baseline="0">
              <a:solidFill>
                <a:schemeClr val="dk1"/>
              </a:solidFill>
              <a:latin typeface="Franklin Gothic Book" panose="020B0503020102020204" pitchFamily="34" charset="0"/>
              <a:ea typeface="+mn-ea"/>
              <a:cs typeface="+mn-cs"/>
            </a:rPr>
            <a:t> fylls i under fliken Inmatning och verifiering.</a:t>
          </a:r>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Byggnadens primärenergital beräknas i separat flik och syns i fliken Start och resultat.</a:t>
          </a:r>
        </a:p>
      </xdr:txBody>
    </xdr:sp>
    <xdr:clientData/>
  </xdr:oneCellAnchor>
  <xdr:twoCellAnchor editAs="oneCell">
    <xdr:from>
      <xdr:col>1</xdr:col>
      <xdr:colOff>0</xdr:colOff>
      <xdr:row>0</xdr:row>
      <xdr:rowOff>35719</xdr:rowOff>
    </xdr:from>
    <xdr:to>
      <xdr:col>2</xdr:col>
      <xdr:colOff>295034</xdr:colOff>
      <xdr:row>0</xdr:row>
      <xdr:rowOff>639275</xdr:rowOff>
    </xdr:to>
    <xdr:pic>
      <xdr:nvPicPr>
        <xdr:cNvPr id="5" name="Bildobjekt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0969" y="35719"/>
          <a:ext cx="1604720" cy="603556"/>
        </a:xfrm>
        <a:prstGeom prst="rect">
          <a:avLst/>
        </a:prstGeom>
      </xdr:spPr>
    </xdr:pic>
    <xdr:clientData/>
  </xdr:twoCellAnchor>
  <xdr:twoCellAnchor editAs="oneCell">
    <xdr:from>
      <xdr:col>6</xdr:col>
      <xdr:colOff>1031081</xdr:colOff>
      <xdr:row>0</xdr:row>
      <xdr:rowOff>47625</xdr:rowOff>
    </xdr:from>
    <xdr:to>
      <xdr:col>6</xdr:col>
      <xdr:colOff>2461948</xdr:colOff>
      <xdr:row>0</xdr:row>
      <xdr:rowOff>659257</xdr:rowOff>
    </xdr:to>
    <xdr:pic>
      <xdr:nvPicPr>
        <xdr:cNvPr id="7" name="Bildobjekt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10186987" y="47625"/>
          <a:ext cx="1430867" cy="611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748242</xdr:colOff>
      <xdr:row>0</xdr:row>
      <xdr:rowOff>196850</xdr:rowOff>
    </xdr:from>
    <xdr:to>
      <xdr:col>8</xdr:col>
      <xdr:colOff>772584</xdr:colOff>
      <xdr:row>1</xdr:row>
      <xdr:rowOff>74084</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6590242" y="196850"/>
          <a:ext cx="2754842" cy="5545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Book" panose="020B0503020102020204" pitchFamily="34" charset="0"/>
              <a:ea typeface="+mn-ea"/>
              <a:cs typeface="+mn-cs"/>
            </a:rPr>
            <a:t>Indatablanketter för energiberäkning enligt BEN – upprepat ifyllande med utförda ändringar inför slutbesked.</a:t>
          </a:r>
        </a:p>
      </xdr:txBody>
    </xdr:sp>
    <xdr:clientData/>
  </xdr:twoCellAnchor>
  <xdr:twoCellAnchor editAs="oneCell">
    <xdr:from>
      <xdr:col>0</xdr:col>
      <xdr:colOff>61913</xdr:colOff>
      <xdr:row>0</xdr:row>
      <xdr:rowOff>40481</xdr:rowOff>
    </xdr:from>
    <xdr:to>
      <xdr:col>1</xdr:col>
      <xdr:colOff>1574029</xdr:colOff>
      <xdr:row>0</xdr:row>
      <xdr:rowOff>644037</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1913" y="40481"/>
          <a:ext cx="1607366" cy="603556"/>
        </a:xfrm>
        <a:prstGeom prst="rect">
          <a:avLst/>
        </a:prstGeom>
      </xdr:spPr>
    </xdr:pic>
    <xdr:clientData/>
  </xdr:twoCellAnchor>
  <xdr:twoCellAnchor>
    <xdr:from>
      <xdr:col>9</xdr:col>
      <xdr:colOff>100542</xdr:colOff>
      <xdr:row>2</xdr:row>
      <xdr:rowOff>3173</xdr:rowOff>
    </xdr:from>
    <xdr:to>
      <xdr:col>12</xdr:col>
      <xdr:colOff>476252</xdr:colOff>
      <xdr:row>8</xdr:row>
      <xdr:rowOff>100541</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11459105" y="896142"/>
          <a:ext cx="3102241" cy="159755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klimatskärmsdata</a:t>
          </a:r>
        </a:p>
        <a:p>
          <a:r>
            <a:rPr lang="sv-SE" sz="1000">
              <a:solidFill>
                <a:schemeClr val="dk1"/>
              </a:solidFill>
              <a:latin typeface="Franklin Gothic Book" panose="020B0503020102020204" pitchFamily="34" charset="0"/>
              <a:ea typeface="+mn-ea"/>
              <a:cs typeface="+mn-cs"/>
            </a:rPr>
            <a:t>Redovisa  konstruktionsdelars areor och U-värden samt köldbryggors värden för beräkning av Um, enligt formel i BBR kap 9. Observera att ”overall internal” mått gäller för areor på resp. byggnadsdel, samt karmyttermått för fönster och dörrars U-värde.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Relevanta rader och rutor fylls i. 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endParaRPr lang="sv-SE" sz="1000">
            <a:solidFill>
              <a:schemeClr val="dk1"/>
            </a:solidFill>
            <a:latin typeface="Franklin Gothic Book" panose="020B0503020102020204" pitchFamily="34" charset="0"/>
            <a:ea typeface="+mn-ea"/>
            <a:cs typeface="+mn-cs"/>
          </a:endParaRPr>
        </a:p>
      </xdr:txBody>
    </xdr:sp>
    <xdr:clientData/>
  </xdr:twoCellAnchor>
  <xdr:twoCellAnchor editAs="oneCell">
    <xdr:from>
      <xdr:col>8</xdr:col>
      <xdr:colOff>1302809</xdr:colOff>
      <xdr:row>0</xdr:row>
      <xdr:rowOff>141816</xdr:rowOff>
    </xdr:from>
    <xdr:to>
      <xdr:col>8</xdr:col>
      <xdr:colOff>2733676</xdr:colOff>
      <xdr:row>1</xdr:row>
      <xdr:rowOff>76115</xdr:rowOff>
    </xdr:to>
    <xdr:pic>
      <xdr:nvPicPr>
        <xdr:cNvPr id="6" name="Bildobjekt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9875309" y="141816"/>
          <a:ext cx="1430867" cy="611632"/>
        </a:xfrm>
        <a:prstGeom prst="rect">
          <a:avLst/>
        </a:prstGeom>
      </xdr:spPr>
    </xdr:pic>
    <xdr:clientData/>
  </xdr:twoCellAnchor>
  <xdr:oneCellAnchor>
    <xdr:from>
      <xdr:col>9</xdr:col>
      <xdr:colOff>83609</xdr:colOff>
      <xdr:row>42</xdr:row>
      <xdr:rowOff>3968</xdr:rowOff>
    </xdr:from>
    <xdr:ext cx="3535890" cy="1674813"/>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1442172" y="9183687"/>
          <a:ext cx="3535890" cy="1674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0" i="0" u="none" strike="noStrike">
              <a:solidFill>
                <a:schemeClr val="dk1"/>
              </a:solidFill>
              <a:effectLst/>
              <a:latin typeface="Franklin Gothic Demi" panose="020B0703020102020204" pitchFamily="34" charset="0"/>
              <a:ea typeface="+mn-ea"/>
              <a:cs typeface="+mn-cs"/>
            </a:rPr>
            <a:t>Anvisning</a:t>
          </a:r>
        </a:p>
        <a:p>
          <a:r>
            <a:rPr lang="sv-SE" sz="1000" b="0" i="0" u="none" strike="noStrike">
              <a:solidFill>
                <a:schemeClr val="dk1"/>
              </a:solidFill>
              <a:effectLst/>
              <a:latin typeface="Franklin Gothic Book" panose="020B0503020102020204" pitchFamily="34" charset="0"/>
              <a:ea typeface="+mn-ea"/>
              <a:cs typeface="+mn-cs"/>
            </a:rPr>
            <a:t>Indatablanketter för energiberäkning enligt BEN – upprepat ifyllande med utförda ändringar inför slutbesked. Enklare blankett kan användas för bostäder.</a:t>
          </a:r>
          <a:r>
            <a:rPr lang="sv-SE" sz="1000">
              <a:effectLst/>
              <a:latin typeface="Franklin Gothic Book" panose="020B0503020102020204" pitchFamily="34" charset="0"/>
            </a:rPr>
            <a:t> </a:t>
          </a:r>
          <a:r>
            <a:rPr lang="sv-SE" sz="1000">
              <a:solidFill>
                <a:schemeClr val="dk1"/>
              </a:solidFill>
              <a:latin typeface="Franklin Gothic Book" panose="020B0503020102020204" pitchFamily="34" charset="0"/>
              <a:ea typeface="+mn-ea"/>
              <a:cs typeface="+mn-cs"/>
            </a:rPr>
            <a:t>Enligt BBR ska installationer  för värme och kyla utformas så att effektbehovet begränsas och energin används effektivt. Byggnaden bör vad avser reglering av tillförsel av värme, kyla och ventilation delas in i zoner bl. a med hänsyn till användning, orientering och planlösning. Allmänt råd finns också om specifik fläkteleffekt (SFP).</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11378</xdr:colOff>
      <xdr:row>0</xdr:row>
      <xdr:rowOff>40218</xdr:rowOff>
    </xdr:from>
    <xdr:to>
      <xdr:col>2</xdr:col>
      <xdr:colOff>1577182</xdr:colOff>
      <xdr:row>1</xdr:row>
      <xdr:rowOff>662705</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30441" y="40218"/>
          <a:ext cx="1865841" cy="809812"/>
        </a:xfrm>
        <a:prstGeom prst="rect">
          <a:avLst/>
        </a:prstGeom>
      </xdr:spPr>
    </xdr:pic>
    <xdr:clientData/>
  </xdr:twoCellAnchor>
  <xdr:twoCellAnchor editAs="oneCell">
    <xdr:from>
      <xdr:col>5</xdr:col>
      <xdr:colOff>868363</xdr:colOff>
      <xdr:row>0</xdr:row>
      <xdr:rowOff>179917</xdr:rowOff>
    </xdr:from>
    <xdr:to>
      <xdr:col>7</xdr:col>
      <xdr:colOff>280988</xdr:colOff>
      <xdr:row>1</xdr:row>
      <xdr:rowOff>625225</xdr:rowOff>
    </xdr:to>
    <xdr:pic>
      <xdr:nvPicPr>
        <xdr:cNvPr id="6" name="Bildobjekt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7853363" y="179917"/>
          <a:ext cx="1552575" cy="626283"/>
        </a:xfrm>
        <a:prstGeom prst="rect">
          <a:avLst/>
        </a:prstGeom>
      </xdr:spPr>
    </xdr:pic>
    <xdr:clientData/>
  </xdr:twoCellAnchor>
  <xdr:twoCellAnchor>
    <xdr:from>
      <xdr:col>7</xdr:col>
      <xdr:colOff>190500</xdr:colOff>
      <xdr:row>1</xdr:row>
      <xdr:rowOff>702469</xdr:rowOff>
    </xdr:from>
    <xdr:to>
      <xdr:col>16</xdr:col>
      <xdr:colOff>166688</xdr:colOff>
      <xdr:row>15</xdr:row>
      <xdr:rowOff>95250</xdr:rowOff>
    </xdr:to>
    <xdr:sp macro="" textlink="">
      <xdr:nvSpPr>
        <xdr:cNvPr id="13" name="textruta 12">
          <a:extLst>
            <a:ext uri="{FF2B5EF4-FFF2-40B4-BE49-F238E27FC236}">
              <a16:creationId xmlns:a16="http://schemas.microsoft.com/office/drawing/2014/main" id="{00000000-0008-0000-0400-00000D000000}"/>
            </a:ext>
          </a:extLst>
        </xdr:cNvPr>
        <xdr:cNvSpPr txBox="1"/>
      </xdr:nvSpPr>
      <xdr:spPr>
        <a:xfrm>
          <a:off x="9405938" y="892969"/>
          <a:ext cx="5441156" cy="3738562"/>
        </a:xfrm>
        <a:prstGeom prst="rect">
          <a:avLst/>
        </a:prstGeom>
        <a:solidFill>
          <a:sysClr val="window" lastClr="FFFFFF">
            <a:lumMod val="75000"/>
          </a:sys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UHM 1A: Byggnadens nettovärmeenergi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Byggnadens nettovärmeenergi över ett normalår är en delmängd av byggnadens energianvändning (se nedan). Byggnadens nettovärmeenergi definieras här som den energi i form av värme (kWh) som byggnaden behöver för uppvärmning till definierad normal rumstemperatur. Till nettovärmeenergin räknas också värmeenergi som alstras inom fastighetsgränsen och som tillförs byggnaden, så som solvärme, bidrag till uppvärmningen från solceller får inte heller avräknas. Till nettovärmeenergin räknas också förluster, genom vädring och i alla ledningssystem och undercentraler, som byggnaden inte tillgodogör sig som uppvärmning. Då värmepump används så avses med värmeenergi, den energi i form av värme som värmepumpen levererar till värmedistributionssystemet (eller inomhusluften), efter avdrag för tappvarmvatten (om tappvarmvattnet ingår i samma system), samt i övrigt enligt definitionen av byggnadens nettovärmeenergi. Förvärmning av uteluftsflöde (tilluft) ska räknas till nettovärmeenergin. Om golvvärme, handdukstork eller annan apparat för uppvärmning installeras, inräknas även den värmeenergin. Uppvärmning av tappvarmvatten räknas inte in. (Byggnadens nettovärmeenergi avgränsas alltså inte på samma sätt som BBR:s energi för uppvärmning.) Förutsättningar i övrigt följer gällande BBR. (BBR: Boverkets byggregler 2011:6 – föreskrifter och allmänna råd, till och med ändringsförfattnings BFS 2020:4 – BBR29. Och senare versioner.) För normalisering (”normalår”) se textrutan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Beräkning och verifiering av UHM 1A: Byggnadens nettovärmeenergi och UHM 1B: Byggnadens energianvändning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Upphandlingsmyndighetens kriterier: </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11375 Krav på byggnadens värme- och energianvändning – krav att använda i upphandling för tidiga skeden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eller</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  11374 Krav på byggnadens värme- och energianvändning – krav att använda vid upphandling av projektering och totalentreprenad. Se www.upphandlingsmyndigheten.se/kriterier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xdr:txBody>
    </xdr:sp>
    <xdr:clientData/>
  </xdr:twoCellAnchor>
  <xdr:twoCellAnchor>
    <xdr:from>
      <xdr:col>7</xdr:col>
      <xdr:colOff>202406</xdr:colOff>
      <xdr:row>17</xdr:row>
      <xdr:rowOff>-1</xdr:rowOff>
    </xdr:from>
    <xdr:to>
      <xdr:col>15</xdr:col>
      <xdr:colOff>192881</xdr:colOff>
      <xdr:row>24</xdr:row>
      <xdr:rowOff>107156</xdr:rowOff>
    </xdr:to>
    <xdr:sp macro="" textlink="">
      <xdr:nvSpPr>
        <xdr:cNvPr id="26" name="textruta 25">
          <a:extLst>
            <a:ext uri="{FF2B5EF4-FFF2-40B4-BE49-F238E27FC236}">
              <a16:creationId xmlns:a16="http://schemas.microsoft.com/office/drawing/2014/main" id="{00000000-0008-0000-0400-00001A000000}"/>
            </a:ext>
          </a:extLst>
        </xdr:cNvPr>
        <xdr:cNvSpPr txBox="1"/>
      </xdr:nvSpPr>
      <xdr:spPr>
        <a:xfrm>
          <a:off x="9417844" y="4929187"/>
          <a:ext cx="4848225" cy="2309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chemeClr val="tx1"/>
              </a:solidFill>
              <a:latin typeface="Franklin Gothic Book" panose="020B0503020102020204" pitchFamily="34" charset="0"/>
              <a:ea typeface="+mn-ea"/>
              <a:cs typeface="+mn-cs"/>
            </a:rPr>
            <a:t>UHM 1B: Byggnadens energianvändning </a:t>
          </a:r>
          <a:r>
            <a:rPr lang="sv-SE" sz="1000">
              <a:solidFill>
                <a:schemeClr val="tx1"/>
              </a:solidFill>
              <a:latin typeface="Franklin Gothic Book" panose="020B0503020102020204" pitchFamily="34" charset="0"/>
              <a:ea typeface="+mn-ea"/>
              <a:cs typeface="+mn-cs"/>
            </a:rPr>
            <a:t>Byggnadens energianvändning över ett normalår definieras här som all den energi som levereras för byggnadens nettovärmeenergi</a:t>
          </a:r>
          <a:r>
            <a:rPr lang="sv-SE" sz="1000" baseline="0">
              <a:solidFill>
                <a:schemeClr val="tx1"/>
              </a:solidFill>
              <a:latin typeface="Franklin Gothic Book" panose="020B0503020102020204" pitchFamily="34" charset="0"/>
              <a:ea typeface="+mn-ea"/>
              <a:cs typeface="+mn-cs"/>
            </a:rPr>
            <a:t> </a:t>
          </a:r>
          <a:r>
            <a:rPr lang="sv-SE" sz="1000">
              <a:solidFill>
                <a:schemeClr val="tx1"/>
              </a:solidFill>
              <a:latin typeface="Franklin Gothic Book" panose="020B0503020102020204" pitchFamily="34" charset="0"/>
              <a:ea typeface="+mn-ea"/>
              <a:cs typeface="+mn-cs"/>
            </a:rPr>
            <a:t>och energi för tappvarmvatten samt byggnadens fastighetsenergi. </a:t>
          </a:r>
        </a:p>
        <a:p>
          <a:r>
            <a:rPr lang="sv-SE" sz="1000">
              <a:solidFill>
                <a:schemeClr val="tx1"/>
              </a:solidFill>
              <a:latin typeface="Franklin Gothic Book" panose="020B0503020102020204" pitchFamily="34" charset="0"/>
              <a:ea typeface="+mn-ea"/>
              <a:cs typeface="+mn-cs"/>
            </a:rPr>
            <a:t>Fjärrkyla (kWh) och el för att alstra kyla ska inräknas in byggnadens energianvändning.  </a:t>
          </a:r>
        </a:p>
        <a:p>
          <a:r>
            <a:rPr lang="sv-SE" sz="1000">
              <a:solidFill>
                <a:schemeClr val="tx1"/>
              </a:solidFill>
              <a:latin typeface="Franklin Gothic Book" panose="020B0503020102020204" pitchFamily="34" charset="0"/>
              <a:ea typeface="+mn-ea"/>
              <a:cs typeface="+mn-cs"/>
            </a:rPr>
            <a:t>Egenproducerad energi så som el från solceller eller solvärme, för tappvarmvatten eller för byggnadens fastighetsenergi ska räknas in i byggnadens energianvändning. I byggnadens energianvändning ingår byggnadens nettovärmeenergi (se </a:t>
          </a:r>
          <a:r>
            <a:rPr lang="sv-SE" sz="1000" b="1">
              <a:solidFill>
                <a:schemeClr val="tx1"/>
              </a:solidFill>
              <a:latin typeface="Franklin Gothic Book" panose="020B0503020102020204" pitchFamily="34" charset="0"/>
              <a:ea typeface="+mn-ea"/>
              <a:cs typeface="+mn-cs"/>
            </a:rPr>
            <a:t>UHM 1A</a:t>
          </a:r>
          <a:r>
            <a:rPr lang="sv-SE" sz="1000">
              <a:solidFill>
                <a:schemeClr val="tx1"/>
              </a:solidFill>
              <a:latin typeface="Franklin Gothic Book" panose="020B0503020102020204" pitchFamily="34" charset="0"/>
              <a:ea typeface="+mn-ea"/>
              <a:cs typeface="+mn-cs"/>
            </a:rPr>
            <a:t>) som en delmängd. Verksamheters och brukares/boendes energianvändning räknas ej in. </a:t>
          </a:r>
        </a:p>
        <a:p>
          <a:r>
            <a:rPr lang="sv-SE" sz="1000">
              <a:solidFill>
                <a:schemeClr val="tx1"/>
              </a:solidFill>
              <a:latin typeface="Franklin Gothic Book" panose="020B0503020102020204" pitchFamily="34" charset="0"/>
              <a:ea typeface="+mn-ea"/>
              <a:cs typeface="+mn-cs"/>
            </a:rPr>
            <a:t>Med byggnadens energianvändning avses inte primärenergitalet. För normalisering (”normalår”) se textrutan </a:t>
          </a:r>
          <a:r>
            <a:rPr lang="sv-SE" sz="1000" b="1">
              <a:solidFill>
                <a:schemeClr val="tx1"/>
              </a:solidFill>
              <a:latin typeface="Franklin Gothic Book" panose="020B0503020102020204" pitchFamily="34" charset="0"/>
              <a:ea typeface="+mn-ea"/>
              <a:cs typeface="+mn-cs"/>
            </a:rPr>
            <a:t>Beräkning och verifiering av UHM 1A: Byggnadens nettovärmeenergi och UHM 1B: Byggnadens energianvändning </a:t>
          </a:r>
        </a:p>
        <a:p>
          <a:r>
            <a:rPr lang="sv-SE" sz="1000">
              <a:solidFill>
                <a:schemeClr val="tx1"/>
              </a:solidFill>
              <a:latin typeface="Franklin Gothic Book" panose="020B0503020102020204" pitchFamily="34" charset="0"/>
              <a:ea typeface="+mn-ea"/>
              <a:cs typeface="+mn-cs"/>
            </a:rPr>
            <a:t>.</a:t>
          </a:r>
        </a:p>
        <a:p>
          <a:r>
            <a:rPr lang="sv-SE" sz="1000">
              <a:solidFill>
                <a:schemeClr val="tx1"/>
              </a:solidFill>
              <a:latin typeface="Franklin Gothic Book" panose="020B0503020102020204" pitchFamily="34" charset="0"/>
              <a:ea typeface="+mn-ea"/>
              <a:cs typeface="+mn-cs"/>
            </a:rPr>
            <a:t>För begränsning av installerad maximal el-effekt så gäller i övrigt Boverkets byggregler.</a:t>
          </a:r>
        </a:p>
        <a:p>
          <a:endParaRPr lang="sv-SE" sz="1000" baseline="0">
            <a:solidFill>
              <a:schemeClr val="tx1"/>
            </a:solidFill>
            <a:latin typeface="Franklin Gothic Book" panose="020B0503020102020204" pitchFamily="34" charset="0"/>
            <a:ea typeface="+mn-ea"/>
            <a:cs typeface="+mn-cs"/>
          </a:endParaRPr>
        </a:p>
        <a:p>
          <a:r>
            <a:rPr lang="sv-SE" sz="1000" b="1" baseline="0">
              <a:solidFill>
                <a:schemeClr val="tx1"/>
              </a:solidFill>
              <a:latin typeface="Franklin Gothic Book" panose="020B0503020102020204" pitchFamily="34" charset="0"/>
              <a:ea typeface="+mn-ea"/>
              <a:cs typeface="+mn-cs"/>
            </a:rPr>
            <a:t>Upphandlingsmyndighetens kriterier:   </a:t>
          </a:r>
          <a:r>
            <a:rPr lang="sv-SE" sz="1000" baseline="0">
              <a:solidFill>
                <a:schemeClr val="tx1"/>
              </a:solidFill>
              <a:latin typeface="Franklin Gothic Book" panose="020B0503020102020204" pitchFamily="34" charset="0"/>
              <a:ea typeface="+mn-ea"/>
              <a:cs typeface="+mn-cs"/>
            </a:rPr>
            <a:t>(se rutan ovan</a:t>
          </a:r>
          <a:r>
            <a:rPr lang="sv-SE" sz="1100">
              <a:solidFill>
                <a:schemeClr val="tx1"/>
              </a:solidFill>
              <a:effectLst/>
              <a:latin typeface="+mn-lt"/>
              <a:ea typeface="+mn-ea"/>
              <a:cs typeface="+mn-cs"/>
            </a:rPr>
            <a:t>) </a:t>
          </a:r>
          <a:endParaRPr lang="sv-SE" sz="1000" b="1">
            <a:solidFill>
              <a:schemeClr val="tx1"/>
            </a:solidFill>
            <a:latin typeface="Franklin Gothic Book" panose="020B0503020102020204" pitchFamily="34" charset="0"/>
            <a:ea typeface="+mn-ea"/>
            <a:cs typeface="+mn-cs"/>
          </a:endParaRPr>
        </a:p>
        <a:p>
          <a:endParaRPr lang="sv-SE" sz="1000">
            <a:solidFill>
              <a:schemeClr val="tx1"/>
            </a:solidFill>
            <a:latin typeface="Franklin Gothic Book" panose="020B0503020102020204" pitchFamily="34" charset="0"/>
            <a:ea typeface="+mn-ea"/>
            <a:cs typeface="+mn-cs"/>
          </a:endParaRPr>
        </a:p>
      </xdr:txBody>
    </xdr:sp>
    <xdr:clientData/>
  </xdr:twoCellAnchor>
  <xdr:twoCellAnchor>
    <xdr:from>
      <xdr:col>1</xdr:col>
      <xdr:colOff>0</xdr:colOff>
      <xdr:row>43</xdr:row>
      <xdr:rowOff>154781</xdr:rowOff>
    </xdr:from>
    <xdr:to>
      <xdr:col>15</xdr:col>
      <xdr:colOff>511969</xdr:colOff>
      <xdr:row>59</xdr:row>
      <xdr:rowOff>166687</xdr:rowOff>
    </xdr:to>
    <xdr:sp macro="" textlink="">
      <xdr:nvSpPr>
        <xdr:cNvPr id="29" name="textruta 28">
          <a:extLst>
            <a:ext uri="{FF2B5EF4-FFF2-40B4-BE49-F238E27FC236}">
              <a16:creationId xmlns:a16="http://schemas.microsoft.com/office/drawing/2014/main" id="{00000000-0008-0000-0400-00001D000000}"/>
            </a:ext>
          </a:extLst>
        </xdr:cNvPr>
        <xdr:cNvSpPr txBox="1"/>
      </xdr:nvSpPr>
      <xdr:spPr>
        <a:xfrm>
          <a:off x="119063" y="11882437"/>
          <a:ext cx="14466094" cy="422671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ysClr val="windowText" lastClr="000000"/>
              </a:solidFill>
              <a:latin typeface="Franklin Gothic Book" panose="020B0503020102020204" pitchFamily="34" charset="0"/>
              <a:ea typeface="+mn-ea"/>
              <a:cs typeface="+mn-cs"/>
            </a:rPr>
            <a:t>Beräkning och</a:t>
          </a:r>
          <a:r>
            <a:rPr lang="sv-SE" sz="1000" b="1" baseline="0">
              <a:solidFill>
                <a:sysClr val="windowText" lastClr="000000"/>
              </a:solidFill>
              <a:latin typeface="Franklin Gothic Book" panose="020B0503020102020204" pitchFamily="34" charset="0"/>
              <a:ea typeface="+mn-ea"/>
              <a:cs typeface="+mn-cs"/>
            </a:rPr>
            <a:t> verifiering av </a:t>
          </a:r>
          <a:r>
            <a:rPr lang="sv-SE" sz="1000" b="1">
              <a:solidFill>
                <a:sysClr val="windowText" lastClr="000000"/>
              </a:solidFill>
              <a:latin typeface="Franklin Gothic Book" panose="020B0503020102020204" pitchFamily="34" charset="0"/>
              <a:ea typeface="+mn-ea"/>
              <a:cs typeface="+mn-cs"/>
            </a:rPr>
            <a:t>UHM 1A</a:t>
          </a:r>
          <a:r>
            <a:rPr lang="sv-SE" sz="1000" b="1" baseline="0">
              <a:solidFill>
                <a:sysClr val="windowText" lastClr="000000"/>
              </a:solidFill>
              <a:latin typeface="Franklin Gothic Book" panose="020B0503020102020204" pitchFamily="34" charset="0"/>
              <a:ea typeface="+mn-ea"/>
              <a:cs typeface="+mn-cs"/>
            </a:rPr>
            <a:t>: Byggnadens nettovärmeenergi och UHM 1B: Byggnadens energianvändning </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för en ännu ej uppförd byggnad ska visas genom beräkningar baserade på gällande handlingar. </a:t>
          </a:r>
        </a:p>
        <a:p>
          <a:r>
            <a:rPr lang="sv-SE" sz="1000">
              <a:solidFill>
                <a:sysClr val="windowText" lastClr="000000"/>
              </a:solidFill>
              <a:latin typeface="Franklin Gothic Book" panose="020B0503020102020204" pitchFamily="34" charset="0"/>
              <a:ea typeface="+mn-ea"/>
              <a:cs typeface="+mn-cs"/>
            </a:rPr>
            <a:t>Beräkningar för en uppförd byggnad ska baseras faktiska värden från mätningar av byggnaden i drift samt korrigeras till normalår och normalt brukande (normalisering). Indata avseende normalisering ska så långt rimligt baseras faktiska värden från mätningar. Metod för normalårskorrigering och val av vilka klimatdatafiler som ska användas ska preciseras i samråd och ska noteras i kontraktet. I händelse av att det inte har preciserats så gäller graddagsmetoden och klimatdatafiler (Sveby - SMHI 1981–2010) enligt Sveby:s Energiavtal 21.</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ska ske enligt beräkningsmetoder i SS-EN ISO 52016–1:2017 Byggnaders energiprestanda - Bygg-och byggnadselement - Energibehov för uppvärmning och kylning, innetemperaturer och sensibel och latent huvudbelastning - Del 1. Beräkningar kan också ske enligt annan likvärdig metod eller med validerade dynamiska simuleringsprogram.</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Energiberäkning ska i övrigt beakta, bland annat: Teknikutrymmens, schakts, kanalers och installationers placering i byggnaden. Förluster ska beräknas utifrån schaktens och kanalers längd och isolerdata, schablondata får inte användas. Varmvattencirkulationens (VVC) förluster ska beräknas utifrån VVC-längd och ledningens isolerdata, schablondata får inte användas. Påverkan från spiskåpors utformning och systeminkoppling, fönstervädring, stilleståndsförluster i undercentral och reglerförluster i värmesystemet ska beräknas. Köldbryggor, exempelvis vid fönster, ska beräknas.</a:t>
          </a:r>
          <a:r>
            <a:rPr lang="sv-SE" sz="1000" baseline="0">
              <a:solidFill>
                <a:sysClr val="windowText" lastClr="000000"/>
              </a:solidFill>
              <a:latin typeface="Franklin Gothic Book" panose="020B0503020102020204" pitchFamily="34" charset="0"/>
              <a:ea typeface="+mn-ea"/>
              <a:cs typeface="+mn-cs"/>
            </a:rPr>
            <a:t> </a:t>
          </a:r>
          <a:r>
            <a:rPr lang="sv-SE" sz="1000">
              <a:solidFill>
                <a:sysClr val="windowText" lastClr="000000"/>
              </a:solidFill>
              <a:latin typeface="Franklin Gothic Book" panose="020B0503020102020204" pitchFamily="34" charset="0"/>
              <a:ea typeface="+mn-ea"/>
              <a:cs typeface="+mn-cs"/>
            </a:rPr>
            <a:t>Hushållsel och verksamhetsenergi ingår inte i kravet men de påverkar energianvändning för uppvärmning och komfortkyla. Hushållsel och verksamhetsenergi ska därför inkluderas i energibalansberäkningen. Beräkningen ska beakta fuktbelastningens påverkan på energibalansen – även avseende fukt från användning av tvätt- och torkmaskiner i lägenheter.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I övrigt ska indata väljas enligt BEN2 (Boverkets föreskrifter om ändring av verkets föreskrifter och allmänna råd (2016:12) om fastställande av byggnadens energianvändning vid normalt brukande och ett normalår).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Alla väsentliga indata med källor ska finnas redovisade i energiberäkningen. Värmebehov för tappvarmvattenanvändning ska ingå med schablon enligt BEN2.</a:t>
          </a:r>
        </a:p>
        <a:p>
          <a:r>
            <a:rPr lang="sv-SE" sz="1000">
              <a:solidFill>
                <a:sysClr val="windowText" lastClr="000000"/>
              </a:solidFill>
              <a:latin typeface="Franklin Gothic Book" panose="020B0503020102020204" pitchFamily="34" charset="0"/>
              <a:ea typeface="+mn-ea"/>
              <a:cs typeface="+mn-cs"/>
            </a:rPr>
            <a:t>Där inga andra krav eller beräkningsmetoder är specificerade i upphandlingsdokumenten gäller BBR och BEN2.</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Primärenergitalet (PET) ska beräknas enligt gällande BBR. Observera att det dock är </a:t>
          </a:r>
          <a:r>
            <a:rPr lang="sv-SE" sz="1000" b="1">
              <a:solidFill>
                <a:sysClr val="windowText" lastClr="000000"/>
              </a:solidFill>
              <a:latin typeface="Franklin Gothic Book" panose="020B0503020102020204" pitchFamily="34" charset="0"/>
              <a:ea typeface="+mn-ea"/>
              <a:cs typeface="+mn-cs"/>
            </a:rPr>
            <a:t>UHM1A </a:t>
          </a:r>
          <a:r>
            <a:rPr lang="sv-SE" sz="1000">
              <a:solidFill>
                <a:sysClr val="windowText" lastClr="000000"/>
              </a:solidFill>
              <a:latin typeface="Franklin Gothic Book" panose="020B0503020102020204" pitchFamily="34" charset="0"/>
              <a:ea typeface="+mn-ea"/>
              <a:cs typeface="+mn-cs"/>
            </a:rPr>
            <a:t>och </a:t>
          </a:r>
          <a:r>
            <a:rPr lang="sv-SE" sz="1000" b="1">
              <a:solidFill>
                <a:sysClr val="windowText" lastClr="000000"/>
              </a:solidFill>
              <a:latin typeface="Franklin Gothic Book" panose="020B0503020102020204" pitchFamily="34" charset="0"/>
              <a:ea typeface="+mn-ea"/>
              <a:cs typeface="+mn-cs"/>
            </a:rPr>
            <a:t>UHM1B</a:t>
          </a:r>
          <a:r>
            <a:rPr lang="sv-SE" sz="1000">
              <a:solidFill>
                <a:sysClr val="windowText" lastClr="000000"/>
              </a:solidFill>
              <a:latin typeface="Franklin Gothic Book" panose="020B0503020102020204" pitchFamily="34" charset="0"/>
              <a:ea typeface="+mn-ea"/>
              <a:cs typeface="+mn-cs"/>
            </a:rPr>
            <a:t> som utgör beställarens krav.</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Beräkningarna ska utgå från en mellan projekteringsdisciplinerna fullt samordnad projekteringshandling. Om det sker förändringar av systemspecifikationen i samband med entreprenörens upphandling av berörda system så ska den upphandlade lösningen vara utgångspunkt för kontrollberäkningen. Det åligger entreprenören att informera beställaren om sådana eventuella förändringar.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Uppdaterad energiberäkning för byggnadens nettovärmeenergi och byggnadens energianvändning ska lämnas till beställaren tillsammans med gällande handlingar. Resultat av energiberäkningar ska sammanfattas och redovisas i beställarens redovisningsmall – Energihjälpen. En uppdaterad energiberäkning och uppdaterad och ifylld redovisningsmall ska redovisas för beställaren innan byggstart kan godkännas samt innan slutbesked kan ges.</a:t>
          </a:r>
        </a:p>
        <a:p>
          <a:endParaRPr lang="sv-SE" sz="1000">
            <a:solidFill>
              <a:sysClr val="windowText" lastClr="000000"/>
            </a:solidFill>
            <a:latin typeface="Franklin Gothic Book" panose="020B0503020102020204" pitchFamily="34"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61913</xdr:colOff>
      <xdr:row>0</xdr:row>
      <xdr:rowOff>40481</xdr:rowOff>
    </xdr:from>
    <xdr:to>
      <xdr:col>1</xdr:col>
      <xdr:colOff>1574029</xdr:colOff>
      <xdr:row>0</xdr:row>
      <xdr:rowOff>638175</xdr:rowOff>
    </xdr:to>
    <xdr:pic>
      <xdr:nvPicPr>
        <xdr:cNvPr id="7" name="Bildobjekt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61913" y="40481"/>
          <a:ext cx="1607366" cy="597694"/>
        </a:xfrm>
        <a:prstGeom prst="rect">
          <a:avLst/>
        </a:prstGeom>
      </xdr:spPr>
    </xdr:pic>
    <xdr:clientData/>
  </xdr:twoCellAnchor>
  <xdr:twoCellAnchor>
    <xdr:from>
      <xdr:col>7</xdr:col>
      <xdr:colOff>133616</xdr:colOff>
      <xdr:row>1</xdr:row>
      <xdr:rowOff>115885</xdr:rowOff>
    </xdr:from>
    <xdr:to>
      <xdr:col>10</xdr:col>
      <xdr:colOff>473605</xdr:colOff>
      <xdr:row>8</xdr:row>
      <xdr:rowOff>10584</xdr:rowOff>
    </xdr:to>
    <xdr:sp macro="" textlink="">
      <xdr:nvSpPr>
        <xdr:cNvPr id="8" name="textruta 7">
          <a:extLst>
            <a:ext uri="{FF2B5EF4-FFF2-40B4-BE49-F238E27FC236}">
              <a16:creationId xmlns:a16="http://schemas.microsoft.com/office/drawing/2014/main" id="{00000000-0008-0000-0500-000008000000}"/>
            </a:ext>
          </a:extLst>
        </xdr:cNvPr>
        <xdr:cNvSpPr txBox="1"/>
      </xdr:nvSpPr>
      <xdr:spPr>
        <a:xfrm>
          <a:off x="8547366" y="793218"/>
          <a:ext cx="2181489" cy="17044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värmeförlusttal</a:t>
          </a:r>
        </a:p>
        <a:p>
          <a:r>
            <a:rPr lang="sv-SE" sz="1000">
              <a:solidFill>
                <a:schemeClr val="dk1"/>
              </a:solidFill>
              <a:latin typeface="Franklin Gothic Book" panose="020B0503020102020204" pitchFamily="34" charset="0"/>
              <a:ea typeface="+mn-ea"/>
              <a:cs typeface="+mn-cs"/>
            </a:rPr>
            <a:t>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Franklin Gothic Book" panose="020B0503020102020204" pitchFamily="34" charset="0"/>
              <a:ea typeface="+mn-ea"/>
              <a:cs typeface="+mn-cs"/>
            </a:rPr>
            <a:t>Alla vita</a:t>
          </a:r>
          <a:r>
            <a:rPr lang="sv-SE" sz="1000" baseline="0">
              <a:solidFill>
                <a:schemeClr val="dk1"/>
              </a:solidFill>
              <a:effectLst/>
              <a:latin typeface="Franklin Gothic Book" panose="020B0503020102020204" pitchFamily="34" charset="0"/>
              <a:ea typeface="+mn-ea"/>
              <a:cs typeface="+mn-cs"/>
            </a:rPr>
            <a:t> rutor i kolumnerna C, D och E behöver fyllas i för en korrekt beräkning av VFT (förutom rad 11 och 12 om till- och frånluftsflödena är i balans)</a:t>
          </a:r>
          <a:r>
            <a:rPr lang="sv-SE" sz="1000">
              <a:solidFill>
                <a:schemeClr val="dk1"/>
              </a:solidFill>
              <a:effectLst/>
              <a:latin typeface="Franklin Gothic Book" panose="020B0503020102020204" pitchFamily="34" charset="0"/>
              <a:ea typeface="+mn-ea"/>
              <a:cs typeface="+mn-cs"/>
            </a:rPr>
            <a:t>. </a:t>
          </a:r>
          <a:endParaRPr lang="sv-SE" sz="1000">
            <a:effectLst/>
            <a:latin typeface="Franklin Gothic Book" panose="020B0503020102020204" pitchFamily="34" charset="0"/>
          </a:endParaRPr>
        </a:p>
        <a:p>
          <a:r>
            <a:rPr lang="sv-SE" sz="1000">
              <a:solidFill>
                <a:schemeClr val="dk1"/>
              </a:solidFill>
              <a:latin typeface="Franklin Gothic Book" panose="020B0503020102020204" pitchFamily="34" charset="0"/>
              <a:ea typeface="+mn-ea"/>
              <a:cs typeface="+mn-cs"/>
            </a:rPr>
            <a:t>Um mm. fylls i under fliken B2. Indata beräkning.</a:t>
          </a:r>
        </a:p>
      </xdr:txBody>
    </xdr:sp>
    <xdr:clientData/>
  </xdr:twoCellAnchor>
  <xdr:twoCellAnchor editAs="oneCell">
    <xdr:from>
      <xdr:col>8</xdr:col>
      <xdr:colOff>526785</xdr:colOff>
      <xdr:row>0</xdr:row>
      <xdr:rowOff>93133</xdr:rowOff>
    </xdr:from>
    <xdr:to>
      <xdr:col>10</xdr:col>
      <xdr:colOff>386027</xdr:colOff>
      <xdr:row>0</xdr:row>
      <xdr:rowOff>627592</xdr:rowOff>
    </xdr:to>
    <xdr:pic>
      <xdr:nvPicPr>
        <xdr:cNvPr id="9" name="Bildobjekt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tretch>
          <a:fillRect/>
        </a:stretch>
      </xdr:blipFill>
      <xdr:spPr>
        <a:xfrm>
          <a:off x="9492191" y="93133"/>
          <a:ext cx="1371336" cy="534459"/>
        </a:xfrm>
        <a:prstGeom prst="rect">
          <a:avLst/>
        </a:prstGeom>
      </xdr:spPr>
    </xdr:pic>
    <xdr:clientData/>
  </xdr:twoCellAnchor>
  <xdr:twoCellAnchor editAs="oneCell">
    <xdr:from>
      <xdr:col>0</xdr:col>
      <xdr:colOff>80698</xdr:colOff>
      <xdr:row>22</xdr:row>
      <xdr:rowOff>64824</xdr:rowOff>
    </xdr:from>
    <xdr:to>
      <xdr:col>4</xdr:col>
      <xdr:colOff>746124</xdr:colOff>
      <xdr:row>41</xdr:row>
      <xdr:rowOff>93268</xdr:rowOff>
    </xdr:to>
    <xdr:pic>
      <xdr:nvPicPr>
        <xdr:cNvPr id="10" name="Bildobjekt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stretch>
          <a:fillRect/>
        </a:stretch>
      </xdr:blipFill>
      <xdr:spPr>
        <a:xfrm>
          <a:off x="80698" y="5613137"/>
          <a:ext cx="4773082" cy="3647944"/>
        </a:xfrm>
        <a:prstGeom prst="rect">
          <a:avLst/>
        </a:prstGeom>
      </xdr:spPr>
    </xdr:pic>
    <xdr:clientData/>
  </xdr:twoCellAnchor>
  <xdr:twoCellAnchor editAs="oneCell">
    <xdr:from>
      <xdr:col>0</xdr:col>
      <xdr:colOff>82019</xdr:colOff>
      <xdr:row>41</xdr:row>
      <xdr:rowOff>181238</xdr:rowOff>
    </xdr:from>
    <xdr:to>
      <xdr:col>4</xdr:col>
      <xdr:colOff>800363</xdr:colOff>
      <xdr:row>49</xdr:row>
      <xdr:rowOff>19752</xdr:rowOff>
    </xdr:to>
    <xdr:pic>
      <xdr:nvPicPr>
        <xdr:cNvPr id="12" name="Bildobjekt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stretch>
          <a:fillRect/>
        </a:stretch>
      </xdr:blipFill>
      <xdr:spPr>
        <a:xfrm>
          <a:off x="82019" y="9349051"/>
          <a:ext cx="4826000" cy="1362514"/>
        </a:xfrm>
        <a:prstGeom prst="rect">
          <a:avLst/>
        </a:prstGeom>
      </xdr:spPr>
    </xdr:pic>
    <xdr:clientData/>
  </xdr:twoCellAnchor>
  <xdr:twoCellAnchor editAs="oneCell">
    <xdr:from>
      <xdr:col>4</xdr:col>
      <xdr:colOff>844021</xdr:colOff>
      <xdr:row>22</xdr:row>
      <xdr:rowOff>76729</xdr:rowOff>
    </xdr:from>
    <xdr:to>
      <xdr:col>9</xdr:col>
      <xdr:colOff>212989</xdr:colOff>
      <xdr:row>30</xdr:row>
      <xdr:rowOff>72698</xdr:rowOff>
    </xdr:to>
    <xdr:pic>
      <xdr:nvPicPr>
        <xdr:cNvPr id="14" name="Bildobjekt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4951677" y="5625042"/>
          <a:ext cx="4857750" cy="1519969"/>
        </a:xfrm>
        <a:prstGeom prst="rect">
          <a:avLst/>
        </a:prstGeom>
      </xdr:spPr>
    </xdr:pic>
    <xdr:clientData/>
  </xdr:twoCellAnchor>
  <xdr:twoCellAnchor editAs="oneCell">
    <xdr:from>
      <xdr:col>4</xdr:col>
      <xdr:colOff>834760</xdr:colOff>
      <xdr:row>30</xdr:row>
      <xdr:rowOff>129644</xdr:rowOff>
    </xdr:from>
    <xdr:to>
      <xdr:col>9</xdr:col>
      <xdr:colOff>226218</xdr:colOff>
      <xdr:row>35</xdr:row>
      <xdr:rowOff>155644</xdr:rowOff>
    </xdr:to>
    <xdr:pic>
      <xdr:nvPicPr>
        <xdr:cNvPr id="16" name="Bildobjekt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6"/>
        <a:stretch>
          <a:fillRect/>
        </a:stretch>
      </xdr:blipFill>
      <xdr:spPr>
        <a:xfrm>
          <a:off x="4942416" y="7261488"/>
          <a:ext cx="4880240" cy="978500"/>
        </a:xfrm>
        <a:prstGeom prst="rect">
          <a:avLst/>
        </a:prstGeom>
      </xdr:spPr>
    </xdr:pic>
    <xdr:clientData/>
  </xdr:twoCellAnchor>
  <xdr:twoCellAnchor>
    <xdr:from>
      <xdr:col>12</xdr:col>
      <xdr:colOff>51593</xdr:colOff>
      <xdr:row>0</xdr:row>
      <xdr:rowOff>458654</xdr:rowOff>
    </xdr:from>
    <xdr:to>
      <xdr:col>19</xdr:col>
      <xdr:colOff>174624</xdr:colOff>
      <xdr:row>10</xdr:row>
      <xdr:rowOff>118135</xdr:rowOff>
    </xdr:to>
    <xdr:graphicFrame macro="">
      <xdr:nvGraphicFramePr>
        <xdr:cNvPr id="17" name="Diagram 16">
          <a:extLst>
            <a:ext uri="{FF2B5EF4-FFF2-40B4-BE49-F238E27FC236}">
              <a16:creationId xmlns:a16="http://schemas.microsoft.com/office/drawing/2014/main"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49</xdr:row>
      <xdr:rowOff>108857</xdr:rowOff>
    </xdr:from>
    <xdr:ext cx="4803321" cy="1551214"/>
    <xdr:sp macro="" textlink="">
      <xdr:nvSpPr>
        <xdr:cNvPr id="18" name="textruta 17">
          <a:extLst>
            <a:ext uri="{FF2B5EF4-FFF2-40B4-BE49-F238E27FC236}">
              <a16:creationId xmlns:a16="http://schemas.microsoft.com/office/drawing/2014/main" id="{00000000-0008-0000-0500-000012000000}"/>
            </a:ext>
          </a:extLst>
        </xdr:cNvPr>
        <xdr:cNvSpPr txBox="1"/>
      </xdr:nvSpPr>
      <xdr:spPr>
        <a:xfrm>
          <a:off x="95250" y="10858500"/>
          <a:ext cx="4803321" cy="155121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1">
              <a:solidFill>
                <a:schemeClr val="dk1"/>
              </a:solidFill>
              <a:effectLst/>
              <a:latin typeface="Franklin Gothic Book" panose="020B0503020102020204" pitchFamily="34" charset="0"/>
              <a:ea typeface="+mn-ea"/>
              <a:cs typeface="+mn-cs"/>
            </a:rPr>
            <a:t>VFT:</a:t>
          </a:r>
          <a:r>
            <a:rPr lang="sv-SE" sz="1000" b="1" baseline="0">
              <a:solidFill>
                <a:schemeClr val="dk1"/>
              </a:solidFill>
              <a:effectLst/>
              <a:latin typeface="Franklin Gothic Book" panose="020B0503020102020204" pitchFamily="34" charset="0"/>
              <a:ea typeface="+mn-ea"/>
              <a:cs typeface="+mn-cs"/>
            </a:rPr>
            <a:t> </a:t>
          </a:r>
          <a:r>
            <a:rPr lang="sv-SE" sz="1000" baseline="0">
              <a:solidFill>
                <a:schemeClr val="dk1"/>
              </a:solidFill>
              <a:effectLst/>
              <a:latin typeface="Franklin Gothic Book" panose="020B0503020102020204" pitchFamily="34" charset="0"/>
              <a:ea typeface="+mn-ea"/>
              <a:cs typeface="+mn-cs"/>
            </a:rPr>
            <a:t>Defintion och beräkningsanvisning för värmeförlusttal finns under Upphandlings-myndighetens kriterium" 1120 Byggnadens maximala värmeförlusttal - Krav vid upphandling efter att systemhandlingar är framtagna" eller kriterium " 11221 Byggnadens maximala värmeförlusttal - Krav vid upphandling inför projekteringsskedet"</a:t>
          </a:r>
          <a:endParaRPr lang="sv-SE" sz="1000">
            <a:effectLst/>
            <a:latin typeface="Franklin Gothic Book" panose="020B0503020102020204" pitchFamily="34" charset="0"/>
          </a:endParaRPr>
        </a:p>
        <a:p>
          <a:r>
            <a:rPr lang="sv-SE" sz="1000" b="0" baseline="0">
              <a:solidFill>
                <a:schemeClr val="dk1"/>
              </a:solidFill>
              <a:effectLst/>
              <a:latin typeface="Franklin Gothic Demi" panose="020B0703020102020204" pitchFamily="34" charset="0"/>
              <a:ea typeface="+mn-ea"/>
              <a:cs typeface="+mn-cs"/>
            </a:rPr>
            <a:t>Defintion och beräkningsanvisning på webb</a:t>
          </a:r>
          <a:r>
            <a:rPr lang="sv-SE" sz="1000" baseline="0">
              <a:solidFill>
                <a:schemeClr val="dk1"/>
              </a:solidFill>
              <a:effectLst/>
              <a:latin typeface="Franklin Gothic Demi" panose="020B0703020102020204" pitchFamily="34" charset="0"/>
              <a:ea typeface="+mn-ea"/>
              <a:cs typeface="+mn-cs"/>
            </a:rPr>
            <a:t>: </a:t>
          </a:r>
          <a:endParaRPr lang="sv-SE" sz="1000">
            <a:effectLst/>
            <a:latin typeface="Franklin Gothic Demi" panose="020B0703020102020204" pitchFamily="34" charset="0"/>
          </a:endParaRPr>
        </a:p>
        <a:p>
          <a:r>
            <a:rPr lang="sv-SE" sz="1000" baseline="0">
              <a:solidFill>
                <a:schemeClr val="dk1"/>
              </a:solidFill>
              <a:effectLst/>
              <a:latin typeface="Franklin Gothic Book" panose="020B0503020102020204" pitchFamily="34" charset="0"/>
              <a:ea typeface="+mn-ea"/>
              <a:cs typeface="+mn-cs"/>
            </a:rPr>
            <a:t>https://kriteriedatabas.upphandlingsmyndigheten.se/system/data/files/10/7349/Bilaga%20ber%C3%A4kningsanvisningar%20f%C3%B6r%20kravet%20p%C3%A5%20byggnadens%20v%C3%A4rmef%C3%B6rlusttal%20vid%20DVUT.pdf</a:t>
          </a:r>
          <a:endParaRPr lang="sv-SE" sz="1000">
            <a:effectLst/>
            <a:latin typeface="Franklin Gothic Book" panose="020B0503020102020204" pitchFamily="34"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6</xdr:col>
      <xdr:colOff>2035968</xdr:colOff>
      <xdr:row>0</xdr:row>
      <xdr:rowOff>48167</xdr:rowOff>
    </xdr:from>
    <xdr:to>
      <xdr:col>8</xdr:col>
      <xdr:colOff>413262</xdr:colOff>
      <xdr:row>0</xdr:row>
      <xdr:rowOff>673917</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8"/>
        <a:stretch>
          <a:fillRect/>
        </a:stretch>
      </xdr:blipFill>
      <xdr:spPr>
        <a:xfrm>
          <a:off x="7929562" y="48167"/>
          <a:ext cx="1449106" cy="62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112</xdr:colOff>
      <xdr:row>0</xdr:row>
      <xdr:rowOff>95250</xdr:rowOff>
    </xdr:from>
    <xdr:to>
      <xdr:col>1</xdr:col>
      <xdr:colOff>1789261</xdr:colOff>
      <xdr:row>22</xdr:row>
      <xdr:rowOff>111125</xdr:rowOff>
    </xdr:to>
    <xdr:pic>
      <xdr:nvPicPr>
        <xdr:cNvPr id="16727" name="Bild 1" descr="Sveby_logo_bramsch Stor_RGB">
          <a:extLst>
            <a:ext uri="{FF2B5EF4-FFF2-40B4-BE49-F238E27FC236}">
              <a16:creationId xmlns:a16="http://schemas.microsoft.com/office/drawing/2014/main" id="{00000000-0008-0000-0600-00005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8" y="95250"/>
          <a:ext cx="1789149"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111633</xdr:colOff>
      <xdr:row>22</xdr:row>
      <xdr:rowOff>181169</xdr:rowOff>
    </xdr:from>
    <xdr:to>
      <xdr:col>16</xdr:col>
      <xdr:colOff>261937</xdr:colOff>
      <xdr:row>36</xdr:row>
      <xdr:rowOff>38940</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2898946" y="752669"/>
          <a:ext cx="2257710" cy="331058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latin typeface="Franklin Gothic Book" pitchFamily="34" charset="0"/>
            </a:rPr>
            <a:t>På denna sida sammanfattas beräknade, uppmätta och korrigerade värden från övriga flikar.</a:t>
          </a:r>
          <a:r>
            <a:rPr lang="sv-SE" sz="1100" baseline="0">
              <a:latin typeface="Franklin Gothic Book" pitchFamily="34" charset="0"/>
            </a:rPr>
            <a:t> Bladet kan användas för 3 år. </a:t>
          </a:r>
          <a:endParaRPr lang="sv-SE" sz="1100">
            <a:latin typeface="Franklin Gothic Book" pitchFamily="34" charset="0"/>
          </a:endParaRPr>
        </a:p>
        <a:p>
          <a:endParaRPr lang="sv-SE" sz="1100">
            <a:latin typeface="Franklin Gothic Book" pitchFamily="34" charset="0"/>
          </a:endParaRPr>
        </a:p>
        <a:p>
          <a:r>
            <a:rPr lang="sv-SE" sz="1100">
              <a:solidFill>
                <a:sysClr val="windowText" lastClr="000000"/>
              </a:solidFill>
              <a:latin typeface="Franklin Gothic Book" pitchFamily="34" charset="0"/>
            </a:rPr>
            <a:t>Beräknade värden</a:t>
          </a:r>
          <a:r>
            <a:rPr lang="sv-SE" sz="1100" baseline="0">
              <a:solidFill>
                <a:sysClr val="windowText" lastClr="000000"/>
              </a:solidFill>
              <a:latin typeface="Franklin Gothic Book" pitchFamily="34" charset="0"/>
            </a:rPr>
            <a:t> fylls i på fliken B1, förutom beräknad frikyla, egenproducerad el och solvärme (inkl. ev. avloppsvärmeväxlare), som om relevant kan fyllas i kolumn C.  </a:t>
          </a:r>
        </a:p>
        <a:p>
          <a:endParaRPr lang="sv-SE" sz="1100" baseline="0">
            <a:latin typeface="Franklin Gothic Book" pitchFamily="34" charset="0"/>
          </a:endParaRPr>
        </a:p>
        <a:p>
          <a:r>
            <a:rPr lang="sv-SE" sz="1100" baseline="0">
              <a:latin typeface="Franklin Gothic Book" pitchFamily="34" charset="0"/>
            </a:rPr>
            <a:t>Förtydliganden kan göras i anmärkningsfälten.</a:t>
          </a:r>
        </a:p>
      </xdr:txBody>
    </xdr:sp>
    <xdr:clientData/>
  </xdr:twoCellAnchor>
  <xdr:twoCellAnchor editAs="oneCell">
    <xdr:from>
      <xdr:col>10</xdr:col>
      <xdr:colOff>714375</xdr:colOff>
      <xdr:row>0</xdr:row>
      <xdr:rowOff>59531</xdr:rowOff>
    </xdr:from>
    <xdr:to>
      <xdr:col>12</xdr:col>
      <xdr:colOff>576008</xdr:colOff>
      <xdr:row>22</xdr:row>
      <xdr:rowOff>115973</xdr:rowOff>
    </xdr:to>
    <xdr:pic>
      <xdr:nvPicPr>
        <xdr:cNvPr id="6" name="Bildobjekt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0417969" y="59531"/>
          <a:ext cx="1457070" cy="6279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857248</xdr:colOff>
      <xdr:row>2</xdr:row>
      <xdr:rowOff>31751</xdr:rowOff>
    </xdr:from>
    <xdr:ext cx="4396357" cy="928407"/>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254998" y="698501"/>
          <a:ext cx="4396357" cy="92840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1</xdr:col>
      <xdr:colOff>997</xdr:colOff>
      <xdr:row>0</xdr:row>
      <xdr:rowOff>110331</xdr:rowOff>
    </xdr:from>
    <xdr:to>
      <xdr:col>3</xdr:col>
      <xdr:colOff>474637</xdr:colOff>
      <xdr:row>2</xdr:row>
      <xdr:rowOff>188118</xdr:rowOff>
    </xdr:to>
    <xdr:pic>
      <xdr:nvPicPr>
        <xdr:cNvPr id="2" name="Bild 1" descr="Sveby_logo_bramsch Stor_RG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22" y="107156"/>
          <a:ext cx="2050821"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50</xdr:col>
      <xdr:colOff>101233</xdr:colOff>
      <xdr:row>0</xdr:row>
      <xdr:rowOff>194926</xdr:rowOff>
    </xdr:from>
    <xdr:to>
      <xdr:col>54</xdr:col>
      <xdr:colOff>489177</xdr:colOff>
      <xdr:row>22</xdr:row>
      <xdr:rowOff>178593</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41332577" y="194926"/>
          <a:ext cx="2816819" cy="55081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a:lnSpc>
              <a:spcPct val="100000"/>
            </a:lnSpc>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Se också instruktioner i de röda trianglarna för resp. cell.</a:t>
          </a:r>
        </a:p>
        <a:p>
          <a:pPr>
            <a:lnSpc>
              <a:spcPct val="100000"/>
            </a:lnSpc>
          </a:pPr>
          <a:r>
            <a:rPr lang="sv-SE" sz="1100">
              <a:solidFill>
                <a:sysClr val="windowText" lastClr="000000"/>
              </a:solidFill>
              <a:latin typeface="Franklin Gothic Book" pitchFamily="34" charset="0"/>
            </a:rPr>
            <a:t>Fyll i </a:t>
          </a:r>
          <a:r>
            <a:rPr lang="sv-SE" sz="1100" baseline="0">
              <a:solidFill>
                <a:sysClr val="windowText" lastClr="000000"/>
              </a:solidFill>
              <a:latin typeface="Franklin Gothic Book" pitchFamily="34" charset="0"/>
            </a:rPr>
            <a:t>månadsvis eller årsvis.  Uppföljning kan göras månadsvis och jämföras med beräknade värden.</a:t>
          </a:r>
        </a:p>
        <a:p>
          <a:pPr>
            <a:lnSpc>
              <a:spcPct val="100000"/>
            </a:lnSpc>
          </a:pPr>
          <a:endParaRPr lang="sv-SE" sz="1100" b="0" baseline="0">
            <a:solidFill>
              <a:sysClr val="windowText" lastClr="000000"/>
            </a:solidFill>
            <a:latin typeface="Franklin Gothic Book" pitchFamily="34" charset="0"/>
            <a:ea typeface="+mn-ea"/>
            <a:cs typeface="+mn-cs"/>
          </a:endParaRPr>
        </a:p>
        <a:p>
          <a:pPr>
            <a:lnSpc>
              <a:spcPct val="100000"/>
            </a:lnSpc>
          </a:pPr>
          <a:r>
            <a:rPr lang="sv-SE" sz="1100" b="0" baseline="0">
              <a:solidFill>
                <a:sysClr val="windowText" lastClr="000000"/>
              </a:solidFill>
              <a:latin typeface="Franklin Gothic Book" pitchFamily="34" charset="0"/>
              <a:ea typeface="+mn-ea"/>
              <a:cs typeface="+mn-cs"/>
            </a:rPr>
            <a:t>Årssummor kan skrivas in direkt i avsedd rad för resp. år. När helårsvärden fylls i förs dessa värden vidare till summaraderna och sammanställningen.</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a:t>
          </a:r>
        </a:p>
        <a:p>
          <a:pPr marL="0" marR="0" indent="0" defTabSz="914400" eaLnBrk="1" fontAlgn="auto" latinLnBrk="0" hangingPunct="1">
            <a:lnSpc>
              <a:spcPct val="100000"/>
            </a:lnSpc>
            <a:spcBef>
              <a:spcPts val="0"/>
            </a:spcBef>
            <a:spcAft>
              <a:spcPts val="0"/>
            </a:spcAft>
            <a:buClrTx/>
            <a:buSzTx/>
            <a:buFontTx/>
            <a:buNone/>
            <a:tabLst/>
            <a:defRPr/>
          </a:pPr>
          <a:endParaRPr lang="sv-SE"/>
        </a:p>
        <a:p>
          <a:pPr>
            <a:lnSpc>
              <a:spcPct val="100000"/>
            </a:lnSpc>
          </a:pPr>
          <a:r>
            <a:rPr lang="sv-SE" sz="1100" baseline="0">
              <a:solidFill>
                <a:sysClr val="windowText" lastClr="000000"/>
              </a:solidFill>
              <a:latin typeface="Franklin Gothic Book" pitchFamily="34" charset="0"/>
            </a:rPr>
            <a:t>Automatisk månadsvis schablonkorrigering av värmen </a:t>
          </a:r>
          <a:r>
            <a:rPr lang="sv-SE" sz="1100" baseline="0">
              <a:solidFill>
                <a:schemeClr val="dk1"/>
              </a:solidFill>
              <a:effectLst/>
              <a:latin typeface="+mn-lt"/>
              <a:ea typeface="+mn-ea"/>
              <a:cs typeface="+mn-cs"/>
            </a:rPr>
            <a:t>görs </a:t>
          </a:r>
          <a:r>
            <a:rPr lang="sv-SE" sz="1100" baseline="0">
              <a:solidFill>
                <a:sysClr val="windowText" lastClr="000000"/>
              </a:solidFill>
              <a:latin typeface="Franklin Gothic Book" pitchFamily="34" charset="0"/>
            </a:rPr>
            <a:t>enligt BEN för avvikelser i brukandet  i kolumnerna AB och AC, förutsatt att innetemperatur och verksamhets-/hushållsenergi matats in i tabellen ovanför. </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Ange i textrutan ovanför tabellen och på rad 10 kortifo om mätpunkter. Mätpunkter redovisas också under flik mätplan.</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Skriv in Klimatdivisor för månad/år.  Ange metod som använts för att ta fram klimatdivsor i ruta F6. Om normalårskorrigerade värden matats in ange 1 i rutorna i kolumn AD. Detta kan även göras för kyla i kolumn AS.</a:t>
          </a:r>
        </a:p>
        <a:p>
          <a:pPr>
            <a:lnSpc>
              <a:spcPct val="100000"/>
            </a:lnSpc>
          </a:pPr>
          <a:endParaRPr lang="sv-SE" sz="1100" baseline="0">
            <a:solidFill>
              <a:sysClr val="windowText" lastClr="000000"/>
            </a:solidFill>
            <a:latin typeface="Franklin Gothic Book" pitchFamily="34" charset="0"/>
            <a:ea typeface="+mn-ea"/>
            <a:cs typeface="+mn-cs"/>
          </a:endParaRPr>
        </a:p>
        <a:p>
          <a:pPr>
            <a:lnSpc>
              <a:spcPct val="100000"/>
            </a:lnSpc>
          </a:pPr>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25</xdr:col>
      <xdr:colOff>0</xdr:colOff>
      <xdr:row>64</xdr:row>
      <xdr:rowOff>0</xdr:rowOff>
    </xdr:from>
    <xdr:to>
      <xdr:col>29</xdr:col>
      <xdr:colOff>243205</xdr:colOff>
      <xdr:row>66</xdr:row>
      <xdr:rowOff>68205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20347781" y="14132719"/>
          <a:ext cx="3800000" cy="466667"/>
        </a:xfrm>
        <a:prstGeom prst="rect">
          <a:avLst/>
        </a:prstGeom>
      </xdr:spPr>
    </xdr:pic>
    <xdr:clientData/>
  </xdr:twoCellAnchor>
  <xdr:twoCellAnchor editAs="oneCell">
    <xdr:from>
      <xdr:col>35</xdr:col>
      <xdr:colOff>71439</xdr:colOff>
      <xdr:row>0</xdr:row>
      <xdr:rowOff>178596</xdr:rowOff>
    </xdr:from>
    <xdr:to>
      <xdr:col>38</xdr:col>
      <xdr:colOff>744942</xdr:colOff>
      <xdr:row>7</xdr:row>
      <xdr:rowOff>71439</xdr:rowOff>
    </xdr:to>
    <xdr:pic>
      <xdr:nvPicPr>
        <xdr:cNvPr id="16" name="Bildobjekt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3"/>
        <a:stretch>
          <a:fillRect/>
        </a:stretch>
      </xdr:blipFill>
      <xdr:spPr>
        <a:xfrm>
          <a:off x="28670252" y="178596"/>
          <a:ext cx="3316690" cy="1512093"/>
        </a:xfrm>
        <a:prstGeom prst="rect">
          <a:avLst/>
        </a:prstGeom>
      </xdr:spPr>
    </xdr:pic>
    <xdr:clientData/>
  </xdr:twoCellAnchor>
  <xdr:twoCellAnchor>
    <xdr:from>
      <xdr:col>24</xdr:col>
      <xdr:colOff>142875</xdr:colOff>
      <xdr:row>0</xdr:row>
      <xdr:rowOff>23815</xdr:rowOff>
    </xdr:from>
    <xdr:to>
      <xdr:col>28</xdr:col>
      <xdr:colOff>607219</xdr:colOff>
      <xdr:row>7</xdr:row>
      <xdr:rowOff>154783</xdr:rowOff>
    </xdr:to>
    <xdr:graphicFrame macro="">
      <xdr:nvGraphicFramePr>
        <xdr:cNvPr id="4" name="Diagram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214312</xdr:colOff>
      <xdr:row>0</xdr:row>
      <xdr:rowOff>47625</xdr:rowOff>
    </xdr:from>
    <xdr:to>
      <xdr:col>46</xdr:col>
      <xdr:colOff>250032</xdr:colOff>
      <xdr:row>7</xdr:row>
      <xdr:rowOff>178593</xdr:rowOff>
    </xdr:to>
    <xdr:graphicFrame macro="">
      <xdr:nvGraphicFramePr>
        <xdr:cNvPr id="9" name="Diagram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92075</xdr:colOff>
      <xdr:row>0</xdr:row>
      <xdr:rowOff>76200</xdr:rowOff>
    </xdr:from>
    <xdr:to>
      <xdr:col>1</xdr:col>
      <xdr:colOff>1463675</xdr:colOff>
      <xdr:row>3</xdr:row>
      <xdr:rowOff>1905</xdr:rowOff>
    </xdr:to>
    <xdr:pic>
      <xdr:nvPicPr>
        <xdr:cNvPr id="9634" name="Bild 1" descr="Sveby_logo_bramsch Stor_RGB">
          <a:extLst>
            <a:ext uri="{FF2B5EF4-FFF2-40B4-BE49-F238E27FC236}">
              <a16:creationId xmlns:a16="http://schemas.microsoft.com/office/drawing/2014/main" id="{00000000-0008-0000-0900-0000A2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476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143895</xdr:colOff>
      <xdr:row>6</xdr:row>
      <xdr:rowOff>1588</xdr:rowOff>
    </xdr:from>
    <xdr:to>
      <xdr:col>11</xdr:col>
      <xdr:colOff>2772932</xdr:colOff>
      <xdr:row>35</xdr:row>
      <xdr:rowOff>181654</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11990614" y="1239838"/>
          <a:ext cx="2629037" cy="55943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b="0" i="0">
              <a:solidFill>
                <a:schemeClr val="dk1"/>
              </a:solidFill>
              <a:latin typeface="Franklin Gothic Book" pitchFamily="34" charset="0"/>
              <a:ea typeface="+mn-ea"/>
              <a:cs typeface="+mn-cs"/>
            </a:rPr>
            <a:t>I dessa tabeller anges</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avvikelser mellan </a:t>
          </a:r>
          <a:r>
            <a:rPr lang="sv-SE" sz="1100" b="0" i="0" baseline="0">
              <a:solidFill>
                <a:schemeClr val="dk1"/>
              </a:solidFill>
              <a:latin typeface="Franklin Gothic Book" pitchFamily="34" charset="0"/>
              <a:ea typeface="+mn-ea"/>
              <a:cs typeface="+mn-cs"/>
            </a:rPr>
            <a:t>beräknade (projekterade) och uppmätta brukarindata för användning vid normalisering med upprepad energiberäkning enligt BEN. För uppföljning av mätresultat med schablonkorrigering enligt BEN används flik C2.</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Fyll i för byggnaden relevanta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beräknade och uppmätta indatavärden i de vita rutorna </a:t>
          </a:r>
          <a:r>
            <a:rPr lang="sv-SE" sz="1100" b="0" i="0">
              <a:solidFill>
                <a:sysClr val="windowText" lastClr="000000"/>
              </a:solidFill>
              <a:latin typeface="Franklin Gothic Book" pitchFamily="34" charset="0"/>
              <a:ea typeface="+mn-ea"/>
              <a:cs typeface="+mn-cs"/>
            </a:rPr>
            <a:t>i tabell 1. </a:t>
          </a:r>
          <a:r>
            <a:rPr lang="sv-SE" sz="1100" b="0" i="0">
              <a:solidFill>
                <a:schemeClr val="dk1"/>
              </a:solidFill>
              <a:latin typeface="Franklin Gothic Book" pitchFamily="34" charset="0"/>
              <a:ea typeface="+mn-ea"/>
              <a:cs typeface="+mn-cs"/>
            </a:rPr>
            <a:t>Normalt ska Sveby/BENs värden användas som beräknade värden, men om</a:t>
          </a:r>
          <a:r>
            <a:rPr lang="sv-SE" sz="1100" b="0" i="0" baseline="0">
              <a:solidFill>
                <a:schemeClr val="dk1"/>
              </a:solidFill>
              <a:latin typeface="Franklin Gothic Book" pitchFamily="34" charset="0"/>
              <a:ea typeface="+mn-ea"/>
              <a:cs typeface="+mn-cs"/>
            </a:rPr>
            <a:t> mer detaljerad information finns att tillgå, kan ett noggrannare värde användas förutsatt att motivering anges.</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ysClr val="windowText" lastClr="000000"/>
              </a:solidFill>
              <a:latin typeface="Franklin Gothic Book" pitchFamily="34" charset="0"/>
              <a:ea typeface="+mn-ea"/>
              <a:cs typeface="+mn-cs"/>
            </a:rPr>
            <a:t>Underlag för uppmätta eller bedömda värden som ligger till grund för korrigeringen ska bifogas.</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ysClr val="windowText" lastClr="000000"/>
              </a:solidFill>
              <a:latin typeface="Franklin Gothic Book" pitchFamily="34" charset="0"/>
              <a:ea typeface="+mn-ea"/>
              <a:cs typeface="+mn-cs"/>
            </a:rPr>
            <a:t>Upprepad energiberäkning</a:t>
          </a:r>
          <a:r>
            <a:rPr lang="sv-SE" sz="1100" b="0" i="0" baseline="0">
              <a:solidFill>
                <a:sysClr val="windowText" lastClr="000000"/>
              </a:solidFill>
              <a:latin typeface="Franklin Gothic Book" pitchFamily="34" charset="0"/>
              <a:ea typeface="+mn-ea"/>
              <a:cs typeface="+mn-cs"/>
            </a:rPr>
            <a:t> rekommenderas för årsvis verifiering. Mata in resultaten från relationenergiberäkningen i flik B1 samt den upprepade beräkningen i tabell 2 för resp år. </a:t>
          </a:r>
          <a:endParaRPr lang="sv-SE" sz="1100" b="0" i="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ysClr val="windowText" lastClr="000000"/>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Schabloner får användas för mindre poster, vilka underskrider  3 kWh/m</a:t>
          </a:r>
          <a:r>
            <a:rPr lang="sv-SE" sz="1100" b="0" i="0" baseline="30000">
              <a:solidFill>
                <a:schemeClr val="dk1"/>
              </a:solidFill>
              <a:latin typeface="Franklin Gothic Book" pitchFamily="34" charset="0"/>
              <a:ea typeface="+mn-ea"/>
              <a:cs typeface="+mn-cs"/>
            </a:rPr>
            <a:t>2</a:t>
          </a:r>
          <a:r>
            <a:rPr lang="sv-SE" sz="1100" b="0" i="0" baseline="0">
              <a:solidFill>
                <a:schemeClr val="dk1"/>
              </a:solidFill>
              <a:latin typeface="Franklin Gothic Book" pitchFamily="34" charset="0"/>
              <a:ea typeface="+mn-ea"/>
              <a:cs typeface="+mn-cs"/>
            </a:rPr>
            <a:t>. </a:t>
          </a:r>
          <a:endParaRPr lang="sv-SE">
            <a:latin typeface="Franklin Gothic Book" pitchFamily="34" charset="0"/>
          </a:endParaRPr>
        </a:p>
        <a:p>
          <a:r>
            <a:rPr lang="sv-SE" sz="1100" b="0" i="0" baseline="0">
              <a:solidFill>
                <a:schemeClr val="dk1"/>
              </a:solidFill>
              <a:latin typeface="Franklin Gothic Book" pitchFamily="34" charset="0"/>
              <a:ea typeface="+mn-ea"/>
              <a:cs typeface="+mn-cs"/>
            </a:rPr>
            <a:t>Metod och underlag ska anges. </a:t>
          </a:r>
          <a:endParaRPr lang="sv-SE" sz="1100">
            <a:solidFill>
              <a:schemeClr val="dk1"/>
            </a:solidFill>
            <a:latin typeface="Franklin Gothic Book" pitchFamily="34" charset="0"/>
            <a:ea typeface="+mn-ea"/>
            <a:cs typeface="+mn-cs"/>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113393</xdr:colOff>
      <xdr:row>5</xdr:row>
      <xdr:rowOff>261936</xdr:rowOff>
    </xdr:from>
    <xdr:to>
      <xdr:col>16</xdr:col>
      <xdr:colOff>364218</xdr:colOff>
      <xdr:row>22</xdr:row>
      <xdr:rowOff>11906</xdr:rowOff>
    </xdr:to>
    <xdr:sp macro="" textlink="">
      <xdr:nvSpPr>
        <xdr:cNvPr id="2" name="textruta 1">
          <a:extLst>
            <a:ext uri="{FF2B5EF4-FFF2-40B4-BE49-F238E27FC236}">
              <a16:creationId xmlns:a16="http://schemas.microsoft.com/office/drawing/2014/main" id="{00000000-0008-0000-0A00-000002000000}"/>
            </a:ext>
          </a:extLst>
        </xdr:cNvPr>
        <xdr:cNvSpPr txBox="1"/>
      </xdr:nvSpPr>
      <xdr:spPr>
        <a:xfrm>
          <a:off x="14067518" y="1297780"/>
          <a:ext cx="2691606" cy="37266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Mätplan skall innehålla uppgifter om mätare som använts vid verifieringen dvs. mätartyp,</a:t>
          </a:r>
          <a:r>
            <a:rPr lang="sv-SE" sz="1100" b="0" i="0" baseline="0">
              <a:solidFill>
                <a:schemeClr val="dk1"/>
              </a:solidFill>
              <a:latin typeface="Franklin Gothic Book" pitchFamily="34" charset="0"/>
              <a:ea typeface="+mn-ea"/>
              <a:cs typeface="+mn-cs"/>
            </a:rPr>
            <a:t> placering </a:t>
          </a:r>
          <a:r>
            <a:rPr lang="sv-SE" sz="1100" b="0" i="0">
              <a:solidFill>
                <a:schemeClr val="dk1"/>
              </a:solidFill>
              <a:latin typeface="Franklin Gothic Book" pitchFamily="34" charset="0"/>
              <a:ea typeface="+mn-ea"/>
              <a:cs typeface="+mn-cs"/>
            </a:rPr>
            <a:t>och ID samt betjäningsområde, samt om/vilka värden som är fördelade och i så fall i Anm-rutan vilken fördelningsprincip som använts.</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Ange även mätare som installerats för att kunna korrigera debiteringsmätare, t.ex. skilja på hushållsenergi och fastighetsenergi.</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Bifoga gärna en skiss på hur</a:t>
          </a:r>
          <a:r>
            <a:rPr lang="sv-SE" sz="1100" b="0" i="0" baseline="0">
              <a:solidFill>
                <a:schemeClr val="dk1"/>
              </a:solidFill>
              <a:latin typeface="Franklin Gothic Book" pitchFamily="34" charset="0"/>
              <a:ea typeface="+mn-ea"/>
              <a:cs typeface="+mn-cs"/>
            </a:rPr>
            <a:t> mätsyetmet hänger ihop.</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Denna sida är inte låst, så det går att lägga till extra rader m.m. Uppgifterna på denna sida har inte heller några vidarekopplingar.</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Det går även att lägga till nya flikar om det behövs.</a:t>
          </a:r>
        </a:p>
      </xdr:txBody>
    </xdr:sp>
    <xdr:clientData/>
  </xdr:twoCellAnchor>
  <xdr:twoCellAnchor editAs="absolute">
    <xdr:from>
      <xdr:col>1</xdr:col>
      <xdr:colOff>0</xdr:colOff>
      <xdr:row>0</xdr:row>
      <xdr:rowOff>85725</xdr:rowOff>
    </xdr:from>
    <xdr:to>
      <xdr:col>1</xdr:col>
      <xdr:colOff>1647825</xdr:colOff>
      <xdr:row>3</xdr:row>
      <xdr:rowOff>47625</xdr:rowOff>
    </xdr:to>
    <xdr:pic>
      <xdr:nvPicPr>
        <xdr:cNvPr id="17543" name="Bild 1" descr="Sveby_logo_bramsch Stor_RGB">
          <a:extLst>
            <a:ext uri="{FF2B5EF4-FFF2-40B4-BE49-F238E27FC236}">
              <a16:creationId xmlns:a16="http://schemas.microsoft.com/office/drawing/2014/main" id="{00000000-0008-0000-0A00-000087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647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61D8D0-BC7A-471A-B340-4A86099F1990}" name="Tabell1" displayName="Tabell1" ref="A2:B292" totalsRowShown="0" headerRowDxfId="3" dataDxfId="2" headerRowCellStyle="Normal 2" dataCellStyle="Normal 2">
  <autoFilter ref="A2:B292" xr:uid="{67EC8FE7-66F4-4653-A574-F3CBBC6779BC}"/>
  <tableColumns count="2">
    <tableColumn id="1" xr3:uid="{92C8F420-5197-4D86-82A9-E43EA3CD57BC}" name="KOMMUNNAMN" dataDxfId="1" dataCellStyle="Normal 2"/>
    <tableColumn id="2" xr3:uid="{A8A00249-345A-43F5-8239-4A062EC274DE}" name="Fgeo" dataDxfId="0" dataCellStyle="Normal 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570FE-6562-4772-8FBC-E4B7EBF62357}" name="Tabell4" displayName="Tabell4" ref="E2:E6" totalsRowShown="0">
  <autoFilter ref="E2:E6" xr:uid="{6116A685-5C80-40C8-84E7-C0B4F84EDE5E}"/>
  <tableColumns count="1">
    <tableColumn id="1" xr3:uid="{FB3175CC-D969-4AE5-9C75-F6F474E71EB6}" name="Välj käll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56E9B-D052-471E-9D43-9C582E42CAE6}" name="Tabell5" displayName="Tabell5" ref="G2:G7" totalsRowShown="0">
  <autoFilter ref="G2:G7" xr:uid="{E67C68D1-CE48-4028-8F13-9CBA422F5D3C}"/>
  <tableColumns count="1">
    <tableColumn id="1" xr3:uid="{0E423DDD-75DC-4ACA-A6D6-9B971EDA5EA3}" name="Värmepumpskälla"/>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9525" cmpd="sng">
          <a:solidFill>
            <a:schemeClr val="tx1"/>
          </a:solidFill>
        </a:ln>
      </a:spPr>
      <a:bodyPr vertOverflow="clip" wrap="square" rtlCol="0" anchor="t"/>
      <a:lstStyle>
        <a:defPPr>
          <a:defRPr sz="1100">
            <a:solidFill>
              <a:schemeClr val="dk1"/>
            </a:solidFill>
            <a:latin typeface="Franklin Gothic Demi"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1C6E-55A2-463E-92B7-D6B716D59E13}">
  <sheetPr codeName="Blad1"/>
  <dimension ref="A1:S67"/>
  <sheetViews>
    <sheetView zoomScale="90" zoomScaleNormal="90" workbookViewId="0">
      <selection activeCell="H26" sqref="H26:H36"/>
    </sheetView>
  </sheetViews>
  <sheetFormatPr defaultColWidth="8.7109375" defaultRowHeight="15" x14ac:dyDescent="0.25"/>
  <cols>
    <col min="1" max="1" width="1.7109375" style="16" customWidth="1"/>
    <col min="2" max="2" width="41.5703125" style="16" customWidth="1"/>
    <col min="3" max="3" width="13.7109375" style="16" customWidth="1"/>
    <col min="4" max="7" width="14" style="16" customWidth="1"/>
    <col min="8" max="8" width="51" style="16" customWidth="1"/>
    <col min="9" max="9" width="33.42578125" style="16" customWidth="1"/>
    <col min="10" max="26" width="8.7109375" style="16"/>
    <col min="27" max="32" width="9.140625" style="16" customWidth="1"/>
    <col min="33" max="16384" width="8.7109375" style="16"/>
  </cols>
  <sheetData>
    <row r="1" spans="1:19" ht="49.5" customHeight="1" x14ac:dyDescent="0.35">
      <c r="A1" s="13"/>
      <c r="B1" s="14" t="s">
        <v>984</v>
      </c>
      <c r="C1" s="13"/>
      <c r="D1" s="13"/>
      <c r="E1" s="13"/>
      <c r="F1" s="13"/>
      <c r="G1" s="13"/>
      <c r="H1" s="13"/>
      <c r="I1" s="13"/>
      <c r="J1" s="15"/>
      <c r="L1" s="13"/>
      <c r="M1" s="27"/>
      <c r="N1" s="27"/>
      <c r="O1" s="27"/>
      <c r="P1" s="27"/>
      <c r="Q1" s="27"/>
      <c r="R1" s="27"/>
    </row>
    <row r="2" spans="1:19" ht="46.5" customHeight="1" x14ac:dyDescent="0.3">
      <c r="A2" s="13"/>
      <c r="B2" s="1121" t="s">
        <v>0</v>
      </c>
      <c r="C2" s="1122"/>
      <c r="D2" s="1122"/>
      <c r="E2" s="1122"/>
      <c r="F2" s="1122"/>
      <c r="G2" s="1122"/>
      <c r="H2" s="1122"/>
      <c r="I2" s="13"/>
      <c r="J2" s="17"/>
      <c r="L2" s="13"/>
      <c r="M2" s="27"/>
      <c r="N2" s="27"/>
      <c r="O2" s="27"/>
      <c r="P2" s="27"/>
      <c r="Q2" s="27"/>
      <c r="R2" s="27"/>
    </row>
    <row r="3" spans="1:19" ht="10.5" customHeight="1" thickBot="1" x14ac:dyDescent="0.4">
      <c r="A3" s="13"/>
      <c r="B3" s="14"/>
      <c r="C3" s="13"/>
      <c r="D3" s="13"/>
      <c r="E3" s="13"/>
      <c r="F3" s="13"/>
      <c r="G3" s="13"/>
      <c r="H3" s="13"/>
      <c r="I3" s="27"/>
      <c r="J3" s="18"/>
      <c r="K3" s="18"/>
      <c r="L3" s="27"/>
      <c r="M3" s="27"/>
      <c r="N3" s="27"/>
      <c r="O3" s="27"/>
      <c r="P3" s="27"/>
      <c r="Q3" s="27"/>
      <c r="R3" s="27"/>
    </row>
    <row r="4" spans="1:19" ht="24.75" customHeight="1" thickBot="1" x14ac:dyDescent="0.3">
      <c r="A4" s="13"/>
      <c r="B4" s="1123" t="s">
        <v>1</v>
      </c>
      <c r="C4" s="1124"/>
      <c r="D4" s="1124"/>
      <c r="E4" s="1124"/>
      <c r="F4" s="1124"/>
      <c r="G4" s="1125"/>
      <c r="H4" s="19" t="s">
        <v>2</v>
      </c>
      <c r="I4" s="27"/>
      <c r="J4" s="18"/>
      <c r="K4" s="18"/>
      <c r="L4" s="27"/>
      <c r="M4" s="27"/>
      <c r="N4" s="27"/>
      <c r="O4" s="27"/>
      <c r="P4" s="27"/>
      <c r="Q4" s="27"/>
      <c r="R4" s="27"/>
    </row>
    <row r="5" spans="1:19" ht="16.5" customHeight="1" thickBot="1" x14ac:dyDescent="0.3">
      <c r="A5" s="13"/>
      <c r="B5" s="20" t="s">
        <v>3</v>
      </c>
      <c r="C5" s="1126">
        <f>'A. Byggnadsinfo med BBR'!C9</f>
        <v>0</v>
      </c>
      <c r="D5" s="1139"/>
      <c r="E5" s="21"/>
      <c r="F5" s="21"/>
      <c r="G5" s="22"/>
      <c r="H5" s="832"/>
      <c r="I5" s="27"/>
      <c r="J5" s="18"/>
      <c r="K5" s="18"/>
      <c r="L5" s="27"/>
      <c r="M5" s="27"/>
      <c r="N5" s="27"/>
      <c r="O5" s="27"/>
      <c r="P5" s="27"/>
      <c r="Q5" s="27"/>
      <c r="R5" s="27"/>
    </row>
    <row r="6" spans="1:19" ht="16.5" customHeight="1" thickBot="1" x14ac:dyDescent="0.3">
      <c r="A6" s="13"/>
      <c r="B6" s="20" t="s">
        <v>4</v>
      </c>
      <c r="C6" s="1126">
        <f>'A. Byggnadsinfo med BBR'!C13</f>
        <v>0</v>
      </c>
      <c r="D6" s="1139"/>
      <c r="E6" s="21"/>
      <c r="F6" s="21"/>
      <c r="G6" s="22"/>
      <c r="H6" s="830"/>
      <c r="I6" s="27"/>
      <c r="J6" s="27"/>
      <c r="K6" s="27"/>
      <c r="L6" s="27"/>
      <c r="M6" s="27"/>
      <c r="N6" s="27"/>
      <c r="O6" s="27"/>
      <c r="P6" s="27"/>
      <c r="Q6" s="27"/>
      <c r="R6" s="27"/>
    </row>
    <row r="7" spans="1:19" ht="16.5" customHeight="1" thickBot="1" x14ac:dyDescent="0.3">
      <c r="A7" s="13"/>
      <c r="B7" s="23" t="s">
        <v>5</v>
      </c>
      <c r="C7" s="1126" t="str">
        <f xml:space="preserve">  Kommun</f>
        <v>Göteborg</v>
      </c>
      <c r="D7" s="1139"/>
      <c r="E7" s="21"/>
      <c r="F7" s="21"/>
      <c r="G7" s="22"/>
      <c r="H7" s="830"/>
      <c r="I7" s="27"/>
      <c r="J7" s="27"/>
      <c r="K7" s="27"/>
      <c r="L7" s="27"/>
      <c r="M7" s="27"/>
      <c r="N7" s="27"/>
      <c r="O7" s="27"/>
      <c r="P7" s="27"/>
      <c r="Q7" s="27"/>
      <c r="R7" s="27"/>
    </row>
    <row r="8" spans="1:19" ht="16.5" customHeight="1" thickBot="1" x14ac:dyDescent="0.3">
      <c r="A8" s="13"/>
      <c r="B8" s="24" t="s">
        <v>6</v>
      </c>
      <c r="C8" s="1126">
        <f>'A. Byggnadsinfo med BBR'!D50</f>
        <v>29</v>
      </c>
      <c r="D8" s="1127"/>
      <c r="E8" s="25"/>
      <c r="F8" s="21"/>
      <c r="G8" s="26"/>
      <c r="H8" s="833"/>
      <c r="I8" s="27"/>
      <c r="J8" s="27"/>
      <c r="K8" s="27"/>
      <c r="L8" s="27"/>
      <c r="M8" s="27"/>
      <c r="N8" s="27"/>
      <c r="O8" s="27"/>
      <c r="P8" s="27"/>
      <c r="Q8" s="27"/>
      <c r="R8" s="27"/>
      <c r="S8" s="27"/>
    </row>
    <row r="9" spans="1:19" ht="16.5" customHeight="1" x14ac:dyDescent="0.35">
      <c r="A9" s="13"/>
      <c r="C9" s="1128" t="s">
        <v>7</v>
      </c>
      <c r="D9" s="1129"/>
      <c r="E9" s="1132" t="s">
        <v>8</v>
      </c>
      <c r="F9" s="1133"/>
      <c r="G9" s="1134"/>
      <c r="H9" s="830"/>
      <c r="I9" s="27"/>
      <c r="J9" s="27"/>
      <c r="K9" s="27"/>
      <c r="L9" s="27"/>
      <c r="M9" s="27"/>
      <c r="N9" s="27"/>
      <c r="O9" s="27"/>
      <c r="P9" s="27"/>
      <c r="Q9" s="27"/>
      <c r="R9" s="27"/>
      <c r="S9" s="27"/>
    </row>
    <row r="10" spans="1:19" ht="39.75" customHeight="1" thickBot="1" x14ac:dyDescent="0.3">
      <c r="A10" s="13"/>
      <c r="B10" s="28"/>
      <c r="C10" s="29" t="str">
        <f>E10</f>
        <v>Inför startbesked</v>
      </c>
      <c r="D10" s="29" t="str">
        <f>F10</f>
        <v>Inför slutbesked</v>
      </c>
      <c r="E10" s="29" t="s">
        <v>9</v>
      </c>
      <c r="F10" s="29" t="s">
        <v>10</v>
      </c>
      <c r="G10" s="30" t="s">
        <v>11</v>
      </c>
      <c r="H10" s="830"/>
      <c r="I10" s="27"/>
      <c r="J10" s="27"/>
      <c r="K10" s="27"/>
      <c r="L10" s="27"/>
      <c r="M10" s="27"/>
      <c r="N10" s="27"/>
      <c r="O10" s="27"/>
      <c r="P10" s="27"/>
      <c r="Q10" s="27"/>
      <c r="R10" s="27"/>
      <c r="S10" s="27"/>
    </row>
    <row r="11" spans="1:19" ht="16.5" customHeight="1" thickBot="1" x14ac:dyDescent="0.3">
      <c r="A11" s="13"/>
      <c r="B11" s="31" t="s">
        <v>12</v>
      </c>
      <c r="C11" s="32">
        <f>'A. Byggnadsinfo med BBR'!D59</f>
        <v>0</v>
      </c>
      <c r="D11" s="33">
        <f>'A. Byggnadsinfo med BBR'!E59</f>
        <v>0</v>
      </c>
      <c r="E11" s="34">
        <f>IFERROR(IF(C8=29,PETberäkning!K9,PETberäkning!K16),0)</f>
        <v>0</v>
      </c>
      <c r="F11" s="34">
        <f>IFERROR(IF(C8=29,PETberäkning!L9,PETberäkning!L16),0)</f>
        <v>0</v>
      </c>
      <c r="G11" s="35">
        <f>IFERROR(IF(C8=29,PETberäkning!M9,PETberäkning!M16),0)</f>
        <v>0</v>
      </c>
      <c r="H11" s="1148"/>
      <c r="I11" s="27"/>
      <c r="J11" s="27"/>
      <c r="K11" s="27"/>
      <c r="L11" s="27"/>
      <c r="M11" s="27"/>
      <c r="N11" s="27"/>
      <c r="O11" s="27"/>
      <c r="P11" s="27"/>
      <c r="Q11" s="27"/>
      <c r="R11" s="27"/>
      <c r="S11" s="27"/>
    </row>
    <row r="12" spans="1:19" ht="16.5" customHeight="1" thickBot="1" x14ac:dyDescent="0.3">
      <c r="A12" s="13"/>
      <c r="B12" s="31" t="s">
        <v>13</v>
      </c>
      <c r="C12" s="36" t="s">
        <v>14</v>
      </c>
      <c r="D12" s="37" t="s">
        <v>14</v>
      </c>
      <c r="E12" s="38">
        <f>IFERROR(IF(E11/C11&lt;=0.5,"A", IF(E11/C11&lt;=0.75,"B", IF(E11/C11&lt;=1,"C",IF(E11/C11&lt;=1.35,"D",IF(E11/C11&lt;=1.8,"E",IF(E11/C11&lt;=2.35,"F","G")))))),0)</f>
        <v>0</v>
      </c>
      <c r="F12" s="39">
        <f>IFERROR(IF(F11/D11&lt;=0.5,"A", IF(F11/D11&lt;=0.75,"B", IF(F11/D11&lt;=1,"C",IF(F11/D11&lt;=1.35,"D",IF(F11/D11&lt;=1.8,"E",IF(F11/D11&lt;=2.35,"F","G")))))),0)</f>
        <v>0</v>
      </c>
      <c r="G12" s="39">
        <f>IFERROR(IF(G11/D11&lt;=0.5,"A", IF(G11/D11&lt;=0.75,"B", IF(G11/D11&lt;=1,"C",IF(G11/D11&lt;=1.35,"D",IF(G11/D11&lt;=1.8,"E",IF(G11/D11&lt;=2.35,"F","G")))))),0)</f>
        <v>0</v>
      </c>
      <c r="H12" s="1148"/>
      <c r="I12" s="27"/>
      <c r="J12" s="27"/>
      <c r="K12" s="27"/>
      <c r="L12" s="27"/>
      <c r="M12" s="27"/>
      <c r="N12" s="27"/>
      <c r="O12" s="27"/>
      <c r="P12" s="27"/>
      <c r="Q12" s="27"/>
      <c r="R12" s="27"/>
      <c r="S12" s="27"/>
    </row>
    <row r="13" spans="1:19" ht="16.5" customHeight="1" thickBot="1" x14ac:dyDescent="0.3">
      <c r="A13" s="13"/>
      <c r="B13" s="31" t="s">
        <v>15</v>
      </c>
      <c r="C13" s="40">
        <f>IFERROR(IF(C8=29,1000*('A. Byggnadsinfo med BBR'!G69+'A. Byggnadsinfo med BBR'!J69)/'A. Byggnadsinfo med BBR'!D43,1000*('A. Byggnadsinfo med BBR'!G70+'A. Byggnadsinfo med BBR'!J70)/'A. Byggnadsinfo med BBR'!E43),0)</f>
        <v>0</v>
      </c>
      <c r="D13" s="41">
        <f>IFERROR(C13,0)</f>
        <v>0</v>
      </c>
      <c r="E13" s="42">
        <f>'B1. Resultat beräkning'!D23</f>
        <v>0</v>
      </c>
      <c r="F13" s="43">
        <f>'B1. Resultat beräkning'!F23</f>
        <v>0</v>
      </c>
      <c r="G13" s="44"/>
      <c r="H13" s="1148"/>
      <c r="I13" s="27"/>
      <c r="J13" s="27"/>
      <c r="K13" s="27"/>
      <c r="L13" s="27"/>
      <c r="M13" s="27"/>
      <c r="N13" s="27"/>
      <c r="O13" s="27"/>
      <c r="P13" s="27"/>
      <c r="Q13" s="27"/>
      <c r="R13" s="27"/>
      <c r="S13" s="27"/>
    </row>
    <row r="14" spans="1:19" ht="16.5" customHeight="1" thickBot="1" x14ac:dyDescent="0.3">
      <c r="A14" s="13"/>
      <c r="B14" s="31" t="s">
        <v>16</v>
      </c>
      <c r="C14" s="36">
        <f>'A. Byggnadsinfo med BBR'!D63</f>
        <v>0</v>
      </c>
      <c r="D14" s="736">
        <f>'A. Byggnadsinfo med BBR'!E63</f>
        <v>0</v>
      </c>
      <c r="E14" s="45">
        <f>'B2. Indata beräkning'!C29</f>
        <v>0</v>
      </c>
      <c r="F14" s="46">
        <f>'B2. Indata beräkning'!F29</f>
        <v>0</v>
      </c>
      <c r="G14" s="47" t="s">
        <v>17</v>
      </c>
      <c r="H14" s="1148"/>
      <c r="I14" s="27"/>
      <c r="J14" s="27"/>
      <c r="K14" s="27"/>
      <c r="L14" s="27"/>
      <c r="M14" s="27"/>
      <c r="N14" s="27"/>
      <c r="O14" s="27"/>
      <c r="P14" s="27"/>
      <c r="Q14" s="27"/>
      <c r="R14" s="27"/>
      <c r="S14" s="27"/>
    </row>
    <row r="15" spans="1:19" ht="16.5" customHeight="1" thickBot="1" x14ac:dyDescent="0.3">
      <c r="A15" s="13"/>
      <c r="B15" s="31" t="s">
        <v>18</v>
      </c>
      <c r="C15" s="48"/>
      <c r="D15" s="49"/>
      <c r="E15" s="50">
        <f>'B1. Resultat beräkning'!D20</f>
        <v>0</v>
      </c>
      <c r="F15" s="51">
        <f>'B1. Resultat beräkning'!F20</f>
        <v>0</v>
      </c>
      <c r="G15" s="52">
        <f>IFERROR(IF('C1. Resultat mätning'!J39&gt;0,'C1. Resultat mätning'!J39,'C1. Resultat mätning'!I39),0)</f>
        <v>0</v>
      </c>
      <c r="H15" s="1149"/>
      <c r="I15" s="27"/>
      <c r="J15" s="27"/>
      <c r="K15" s="27"/>
      <c r="L15" s="27"/>
      <c r="M15" s="27"/>
      <c r="N15" s="27"/>
      <c r="O15" s="27"/>
      <c r="P15" s="27"/>
      <c r="Q15" s="27"/>
      <c r="R15" s="27"/>
      <c r="S15" s="27"/>
    </row>
    <row r="16" spans="1:19" ht="15.75" thickBot="1" x14ac:dyDescent="0.3">
      <c r="A16" s="13"/>
      <c r="B16" s="13"/>
      <c r="C16" s="13"/>
      <c r="D16" s="13"/>
      <c r="E16" s="13"/>
      <c r="F16" s="13"/>
      <c r="G16" s="13"/>
      <c r="H16" s="13"/>
      <c r="I16" s="53"/>
      <c r="J16" s="27"/>
      <c r="K16" s="27"/>
      <c r="L16" s="27"/>
      <c r="M16" s="27"/>
      <c r="N16" s="27"/>
      <c r="O16" s="27"/>
      <c r="P16" s="27"/>
      <c r="Q16" s="27"/>
      <c r="R16" s="27"/>
    </row>
    <row r="17" spans="1:19" ht="20.25" thickBot="1" x14ac:dyDescent="0.3">
      <c r="A17" s="13"/>
      <c r="B17" s="54" t="s">
        <v>19</v>
      </c>
      <c r="C17" s="13"/>
      <c r="D17" s="13"/>
      <c r="E17" s="13"/>
      <c r="F17" s="13"/>
      <c r="G17" s="13"/>
      <c r="H17" s="19" t="s">
        <v>2</v>
      </c>
      <c r="I17" s="53"/>
      <c r="J17" s="27"/>
      <c r="K17" s="27"/>
      <c r="L17" s="27"/>
      <c r="M17" s="27"/>
      <c r="N17" s="27"/>
      <c r="O17" s="27"/>
      <c r="P17" s="27"/>
      <c r="Q17" s="27"/>
      <c r="R17" s="27"/>
    </row>
    <row r="18" spans="1:19" ht="19.5" customHeight="1" x14ac:dyDescent="0.25">
      <c r="A18" s="13"/>
      <c r="B18" s="55"/>
      <c r="C18" s="56" t="s">
        <v>20</v>
      </c>
      <c r="D18" s="1145" t="s">
        <v>21</v>
      </c>
      <c r="E18" s="1146"/>
      <c r="F18" s="1146"/>
      <c r="G18" s="1147"/>
      <c r="H18" s="1135"/>
      <c r="I18" s="53"/>
      <c r="K18" s="27"/>
      <c r="L18" s="27"/>
      <c r="M18" s="27"/>
      <c r="N18" s="27"/>
      <c r="O18" s="27"/>
      <c r="P18" s="27"/>
      <c r="Q18" s="27"/>
      <c r="R18" s="27"/>
      <c r="S18" s="27"/>
    </row>
    <row r="19" spans="1:19" ht="16.5" customHeight="1" x14ac:dyDescent="0.25">
      <c r="A19" s="13"/>
      <c r="B19" s="57"/>
      <c r="C19" s="1130"/>
      <c r="D19" s="1140" t="s">
        <v>9</v>
      </c>
      <c r="E19" s="1140" t="s">
        <v>22</v>
      </c>
      <c r="F19" s="1130" t="s">
        <v>10</v>
      </c>
      <c r="G19" s="1143" t="s">
        <v>11</v>
      </c>
      <c r="H19" s="1136"/>
      <c r="I19" s="53"/>
      <c r="J19" s="27"/>
      <c r="K19" s="27"/>
      <c r="L19" s="27"/>
      <c r="M19" s="27"/>
      <c r="N19" s="27"/>
      <c r="O19" s="27"/>
      <c r="P19" s="27"/>
      <c r="Q19" s="27"/>
      <c r="R19" s="27"/>
      <c r="S19" s="27"/>
    </row>
    <row r="20" spans="1:19" ht="34.5" customHeight="1" thickBot="1" x14ac:dyDescent="0.3">
      <c r="A20" s="13"/>
      <c r="B20" s="58"/>
      <c r="C20" s="1131"/>
      <c r="D20" s="1141"/>
      <c r="E20" s="1141"/>
      <c r="F20" s="1142"/>
      <c r="G20" s="1144"/>
      <c r="H20" s="1136"/>
      <c r="I20" s="53"/>
      <c r="J20" s="27"/>
      <c r="L20" s="27"/>
      <c r="M20" s="27"/>
      <c r="N20" s="27"/>
      <c r="O20" s="27"/>
      <c r="P20" s="27"/>
      <c r="Q20" s="27"/>
      <c r="R20" s="27"/>
      <c r="S20" s="27"/>
    </row>
    <row r="21" spans="1:19" ht="16.5" customHeight="1" thickBot="1" x14ac:dyDescent="0.3">
      <c r="A21" s="13"/>
      <c r="B21" s="24" t="s">
        <v>23</v>
      </c>
      <c r="C21" s="795"/>
      <c r="D21" s="798">
        <f>UHM!D15</f>
        <v>0</v>
      </c>
      <c r="E21" s="799">
        <f>UHM!E15</f>
        <v>0</v>
      </c>
      <c r="F21" s="799">
        <f>UHM!F15</f>
        <v>0</v>
      </c>
      <c r="G21" s="800">
        <f>UHM!G15</f>
        <v>0</v>
      </c>
      <c r="H21" s="1137"/>
      <c r="I21" s="27"/>
      <c r="J21" s="27"/>
      <c r="K21" s="27"/>
      <c r="L21" s="27"/>
      <c r="M21" s="27"/>
      <c r="N21" s="27"/>
      <c r="O21" s="27"/>
      <c r="P21" s="27"/>
      <c r="Q21" s="27"/>
      <c r="R21" s="27"/>
      <c r="S21" s="27"/>
    </row>
    <row r="22" spans="1:19" ht="16.5" thickBot="1" x14ac:dyDescent="0.3">
      <c r="B22" s="24" t="s">
        <v>24</v>
      </c>
      <c r="C22" s="796"/>
      <c r="D22" s="801">
        <f>UHM!D29</f>
        <v>0</v>
      </c>
      <c r="E22" s="149">
        <f>UHM!E29</f>
        <v>0</v>
      </c>
      <c r="F22" s="149">
        <f>UHM!F29</f>
        <v>0</v>
      </c>
      <c r="G22" s="802">
        <f>UHM!G29</f>
        <v>0</v>
      </c>
      <c r="H22" s="1137"/>
      <c r="J22" s="27"/>
      <c r="K22" s="27"/>
      <c r="L22" s="27"/>
      <c r="M22" s="27"/>
      <c r="N22" s="27"/>
      <c r="O22" s="27"/>
      <c r="P22" s="27"/>
      <c r="Q22" s="27"/>
      <c r="R22" s="27"/>
    </row>
    <row r="23" spans="1:19" ht="16.5" thickBot="1" x14ac:dyDescent="0.3">
      <c r="B23" s="24" t="s">
        <v>25</v>
      </c>
      <c r="C23" s="797"/>
      <c r="D23" s="803">
        <f>VFT!C18</f>
        <v>0</v>
      </c>
      <c r="E23" s="804">
        <f>VFT!D18</f>
        <v>0</v>
      </c>
      <c r="F23" s="804">
        <f>VFT!E18</f>
        <v>0</v>
      </c>
      <c r="G23" s="59">
        <f>VFT!J13</f>
        <v>0</v>
      </c>
      <c r="H23" s="1138"/>
      <c r="J23" s="27"/>
      <c r="K23" s="27"/>
      <c r="L23" s="27"/>
      <c r="M23" s="27"/>
      <c r="N23" s="27"/>
      <c r="O23" s="27"/>
      <c r="P23" s="27"/>
      <c r="Q23" s="27"/>
      <c r="R23" s="27"/>
    </row>
    <row r="24" spans="1:19" ht="15.75" thickBot="1" x14ac:dyDescent="0.3">
      <c r="B24" s="60"/>
      <c r="H24" s="13"/>
      <c r="I24" s="27"/>
      <c r="J24" s="27"/>
      <c r="K24" s="27"/>
      <c r="L24" s="27"/>
      <c r="M24" s="27"/>
      <c r="N24" s="27"/>
      <c r="O24" s="27"/>
      <c r="P24" s="27"/>
      <c r="Q24" s="27"/>
      <c r="R24" s="27"/>
    </row>
    <row r="25" spans="1:19" ht="20.25" thickBot="1" x14ac:dyDescent="0.4">
      <c r="B25" s="61" t="s">
        <v>26</v>
      </c>
      <c r="F25" s="62"/>
      <c r="G25" s="63"/>
      <c r="H25" s="19" t="s">
        <v>2</v>
      </c>
      <c r="I25" s="27"/>
      <c r="J25" s="27"/>
      <c r="K25" s="27"/>
      <c r="L25" s="27"/>
      <c r="M25" s="27"/>
      <c r="N25" s="27"/>
      <c r="O25" s="27"/>
      <c r="P25" s="27"/>
      <c r="Q25" s="27"/>
      <c r="R25" s="27"/>
    </row>
    <row r="26" spans="1:19" ht="16.5" x14ac:dyDescent="0.3">
      <c r="B26" s="64" t="s">
        <v>27</v>
      </c>
      <c r="C26" s="65">
        <v>1</v>
      </c>
      <c r="D26" s="66">
        <v>2</v>
      </c>
      <c r="E26" s="67">
        <v>3</v>
      </c>
      <c r="H26" s="1115"/>
      <c r="I26" s="27"/>
      <c r="J26" s="27"/>
      <c r="K26" s="27"/>
      <c r="L26" s="27"/>
      <c r="M26" s="27"/>
      <c r="N26" s="27"/>
      <c r="O26" s="27"/>
      <c r="P26" s="27"/>
      <c r="Q26" s="27"/>
      <c r="R26" s="27"/>
    </row>
    <row r="27" spans="1:19" ht="3" customHeight="1" x14ac:dyDescent="0.25">
      <c r="B27" s="68"/>
      <c r="C27" s="69"/>
      <c r="E27" s="70"/>
      <c r="H27" s="1116"/>
      <c r="I27" s="27"/>
      <c r="J27" s="27"/>
      <c r="K27" s="27"/>
      <c r="L27" s="27"/>
      <c r="M27" s="27"/>
      <c r="N27" s="27"/>
      <c r="O27" s="27"/>
      <c r="P27" s="27"/>
      <c r="Q27" s="27"/>
      <c r="R27" s="27"/>
    </row>
    <row r="28" spans="1:19" ht="16.5" customHeight="1" x14ac:dyDescent="0.25">
      <c r="B28" s="64" t="s">
        <v>28</v>
      </c>
      <c r="C28" s="7"/>
      <c r="D28" s="8"/>
      <c r="E28" s="9"/>
      <c r="F28" s="71" t="s">
        <v>29</v>
      </c>
      <c r="H28" s="1116"/>
      <c r="I28" s="27"/>
      <c r="J28" s="27"/>
      <c r="K28" s="27"/>
      <c r="L28" s="27"/>
      <c r="M28" s="27"/>
      <c r="N28" s="27"/>
      <c r="O28" s="27"/>
      <c r="P28" s="27"/>
      <c r="Q28" s="27"/>
      <c r="R28" s="27"/>
    </row>
    <row r="29" spans="1:19" ht="3" customHeight="1" x14ac:dyDescent="0.25">
      <c r="B29" s="64"/>
      <c r="C29" s="72"/>
      <c r="D29" s="73"/>
      <c r="E29" s="74"/>
      <c r="F29" s="75"/>
      <c r="H29" s="1116"/>
      <c r="I29" s="27"/>
      <c r="J29" s="27"/>
      <c r="K29" s="27"/>
      <c r="L29" s="27"/>
      <c r="M29" s="27"/>
      <c r="N29" s="27"/>
      <c r="O29" s="27"/>
      <c r="P29" s="27"/>
      <c r="Q29" s="27"/>
      <c r="R29" s="27"/>
    </row>
    <row r="30" spans="1:19" ht="16.5" customHeight="1" x14ac:dyDescent="0.25">
      <c r="B30" s="64" t="s">
        <v>30</v>
      </c>
      <c r="C30" s="10"/>
      <c r="D30" s="11"/>
      <c r="E30" s="12"/>
      <c r="F30" s="71" t="s">
        <v>31</v>
      </c>
      <c r="H30" s="1116"/>
      <c r="I30" s="27"/>
      <c r="J30" s="27"/>
      <c r="K30" s="27"/>
      <c r="L30" s="27"/>
      <c r="M30" s="27"/>
      <c r="N30" s="27"/>
      <c r="O30" s="27"/>
      <c r="P30" s="27"/>
      <c r="Q30" s="27"/>
      <c r="R30" s="27"/>
    </row>
    <row r="31" spans="1:19" ht="3" customHeight="1" x14ac:dyDescent="0.25">
      <c r="B31" s="76"/>
      <c r="C31" s="77"/>
      <c r="D31" s="78"/>
      <c r="E31" s="79"/>
      <c r="F31" s="78"/>
      <c r="H31" s="1116"/>
      <c r="I31" s="27"/>
      <c r="J31" s="27"/>
      <c r="K31" s="27"/>
      <c r="L31" s="27"/>
      <c r="M31" s="27"/>
      <c r="N31" s="27"/>
      <c r="O31" s="27"/>
      <c r="P31" s="27"/>
      <c r="Q31" s="27"/>
      <c r="R31" s="27"/>
    </row>
    <row r="32" spans="1:19" ht="16.5" customHeight="1" x14ac:dyDescent="0.25">
      <c r="B32" s="64" t="s">
        <v>32</v>
      </c>
      <c r="C32" s="80">
        <f>IFERROR(IF('C1. Resultat mätning'!J39&gt;0,'C1. Resultat mätning'!J39,'C1. Resultat mätning'!I39),0)</f>
        <v>0</v>
      </c>
      <c r="D32" s="81">
        <f>IFERROR(IF('C1. Resultat mätning'!J56&gt;0,'C1. Resultat mätning'!J56,'C1. Resultat mätning'!I56),0)</f>
        <v>0</v>
      </c>
      <c r="E32" s="82">
        <f>IFERROR(IF('C1. Resultat mätning'!J73&gt;0,'C1. Resultat mätning'!J73,'C1. Resultat mätning'!I73),0)</f>
        <v>0</v>
      </c>
      <c r="F32" s="71" t="s">
        <v>29</v>
      </c>
      <c r="H32" s="1116"/>
      <c r="I32" s="27"/>
      <c r="J32" s="27"/>
      <c r="K32" s="27"/>
      <c r="L32" s="27"/>
      <c r="M32" s="27"/>
      <c r="N32" s="27"/>
      <c r="O32" s="27"/>
      <c r="P32" s="27"/>
      <c r="Q32" s="27"/>
      <c r="R32" s="27"/>
    </row>
    <row r="33" spans="2:18" ht="16.5" customHeight="1" x14ac:dyDescent="0.25">
      <c r="B33" s="83" t="s">
        <v>33</v>
      </c>
      <c r="C33" s="84">
        <f>IFERROR(IF(C8=29,PETberäkning!M9,PETberäkning!M16),0)</f>
        <v>0</v>
      </c>
      <c r="D33" s="85">
        <f>IFERROR(IF(C8=29,PETberäkning!N9,PETberäkning!N16),0)</f>
        <v>0</v>
      </c>
      <c r="E33" s="86">
        <f>IFERROR(IF(C8=29,PETberäkning!O9,PETberäkning!O16),0)</f>
        <v>0</v>
      </c>
      <c r="F33" s="71" t="s">
        <v>29</v>
      </c>
      <c r="H33" s="1116"/>
      <c r="I33" s="27"/>
      <c r="J33" s="27"/>
      <c r="K33" s="27"/>
      <c r="L33" s="27"/>
      <c r="M33" s="27"/>
      <c r="N33" s="27"/>
      <c r="O33" s="27"/>
      <c r="P33" s="27"/>
      <c r="Q33" s="27"/>
      <c r="R33" s="27"/>
    </row>
    <row r="34" spans="2:18" ht="16.5" customHeight="1" x14ac:dyDescent="0.25">
      <c r="B34" s="64" t="s">
        <v>34</v>
      </c>
      <c r="C34" s="87">
        <f>C33-C28</f>
        <v>0</v>
      </c>
      <c r="D34" s="81">
        <f t="shared" ref="D34:E34" si="0">D33-D28</f>
        <v>0</v>
      </c>
      <c r="E34" s="88">
        <f t="shared" si="0"/>
        <v>0</v>
      </c>
      <c r="F34" s="71" t="s">
        <v>29</v>
      </c>
      <c r="H34" s="1116"/>
      <c r="I34" s="27"/>
      <c r="J34" s="27"/>
      <c r="K34" s="27"/>
      <c r="L34" s="27"/>
      <c r="M34" s="27"/>
      <c r="N34" s="27"/>
      <c r="O34" s="27"/>
      <c r="P34" s="27"/>
      <c r="Q34" s="27"/>
      <c r="R34" s="27"/>
    </row>
    <row r="35" spans="2:18" ht="3" customHeight="1" x14ac:dyDescent="0.25">
      <c r="B35" s="64"/>
      <c r="C35" s="89"/>
      <c r="D35" s="90"/>
      <c r="E35" s="91"/>
      <c r="F35" s="71"/>
      <c r="H35" s="1116"/>
      <c r="I35" s="27"/>
      <c r="J35" s="27"/>
      <c r="K35" s="27"/>
      <c r="L35" s="27"/>
      <c r="M35" s="27"/>
      <c r="N35" s="27"/>
      <c r="O35" s="27"/>
      <c r="P35" s="27"/>
      <c r="Q35" s="27"/>
      <c r="R35" s="27"/>
    </row>
    <row r="36" spans="2:18" ht="16.5" customHeight="1" thickBot="1" x14ac:dyDescent="0.3">
      <c r="B36" s="64" t="s">
        <v>35</v>
      </c>
      <c r="C36" s="92">
        <f>IF(C34&gt;0,C34*C30*'A. Byggnadsinfo med BBR'!$E$43,0)</f>
        <v>0</v>
      </c>
      <c r="D36" s="93">
        <f>IF(D34&gt;0,D34*D30*'A. Byggnadsinfo med BBR'!$E$43,0)</f>
        <v>0</v>
      </c>
      <c r="E36" s="94">
        <f>IF(E34&gt;0,E34*E30*'A. Byggnadsinfo med BBR'!$E$43,0)</f>
        <v>0</v>
      </c>
      <c r="F36" s="95" t="s">
        <v>36</v>
      </c>
      <c r="G36" s="63"/>
      <c r="H36" s="1117"/>
      <c r="I36" s="27"/>
      <c r="J36" s="27"/>
      <c r="K36" s="27"/>
      <c r="L36" s="27"/>
      <c r="M36" s="27"/>
      <c r="N36" s="27"/>
      <c r="O36" s="27"/>
      <c r="P36" s="27"/>
      <c r="Q36" s="27"/>
      <c r="R36" s="27"/>
    </row>
    <row r="37" spans="2:18" ht="15.75" x14ac:dyDescent="0.25">
      <c r="G37" s="96"/>
      <c r="I37" s="27"/>
      <c r="J37" s="27"/>
      <c r="K37" s="27"/>
      <c r="L37" s="27"/>
      <c r="M37" s="27"/>
      <c r="N37" s="27"/>
      <c r="O37" s="27"/>
      <c r="P37" s="27"/>
      <c r="Q37" s="27"/>
      <c r="R37" s="27"/>
    </row>
    <row r="38" spans="2:18" x14ac:dyDescent="0.25">
      <c r="B38" s="83" t="s">
        <v>37</v>
      </c>
      <c r="C38" s="1118"/>
      <c r="D38" s="1119"/>
      <c r="E38" s="1120"/>
      <c r="G38" s="83" t="s">
        <v>38</v>
      </c>
      <c r="H38" s="834"/>
      <c r="I38" s="27"/>
      <c r="J38" s="27"/>
      <c r="K38" s="27"/>
      <c r="L38" s="27"/>
      <c r="M38" s="27"/>
      <c r="N38" s="27"/>
      <c r="O38" s="27"/>
      <c r="P38" s="27"/>
      <c r="Q38" s="27"/>
      <c r="R38" s="27"/>
    </row>
    <row r="39" spans="2:18" x14ac:dyDescent="0.25">
      <c r="B39" s="97" t="s">
        <v>39</v>
      </c>
      <c r="C39" s="1118"/>
      <c r="D39" s="1119"/>
      <c r="E39" s="1120"/>
      <c r="G39" s="97" t="s">
        <v>39</v>
      </c>
      <c r="H39" s="834"/>
      <c r="I39" s="27"/>
      <c r="J39" s="27"/>
      <c r="K39" s="27"/>
      <c r="L39" s="27"/>
      <c r="M39" s="27"/>
      <c r="N39" s="27"/>
      <c r="O39" s="27"/>
      <c r="P39" s="27"/>
      <c r="Q39" s="27"/>
      <c r="R39" s="27"/>
    </row>
    <row r="40" spans="2:18" x14ac:dyDescent="0.25">
      <c r="B40" s="97" t="s">
        <v>40</v>
      </c>
      <c r="C40" s="1118"/>
      <c r="D40" s="1119"/>
      <c r="E40" s="1120"/>
      <c r="G40" s="97" t="s">
        <v>40</v>
      </c>
      <c r="H40" s="834"/>
      <c r="I40" s="27"/>
      <c r="J40" s="27"/>
      <c r="K40" s="27"/>
      <c r="L40" s="27"/>
      <c r="M40" s="27"/>
      <c r="N40" s="27"/>
      <c r="O40" s="27"/>
      <c r="P40" s="27"/>
      <c r="Q40" s="27"/>
      <c r="R40" s="27"/>
    </row>
    <row r="41" spans="2:18" x14ac:dyDescent="0.25">
      <c r="B41" s="97" t="s">
        <v>41</v>
      </c>
      <c r="C41" s="1111"/>
      <c r="D41" s="1112"/>
      <c r="E41" s="1113"/>
      <c r="G41" s="97" t="s">
        <v>41</v>
      </c>
      <c r="H41" s="835"/>
      <c r="I41" s="27"/>
      <c r="J41" s="27"/>
      <c r="K41" s="27"/>
      <c r="L41" s="27"/>
      <c r="M41" s="27"/>
      <c r="N41" s="27"/>
      <c r="O41" s="27"/>
      <c r="P41" s="27"/>
      <c r="Q41" s="27"/>
      <c r="R41" s="27"/>
    </row>
    <row r="42" spans="2:18" ht="5.25" customHeight="1" x14ac:dyDescent="0.25">
      <c r="B42" s="98"/>
      <c r="G42" s="96"/>
      <c r="I42" s="27"/>
      <c r="J42" s="27"/>
      <c r="K42" s="27"/>
      <c r="L42" s="27"/>
      <c r="M42" s="27"/>
      <c r="N42" s="27"/>
      <c r="O42" s="27"/>
      <c r="P42" s="27"/>
      <c r="Q42" s="27"/>
      <c r="R42" s="27"/>
    </row>
    <row r="43" spans="2:18" ht="15.75" x14ac:dyDescent="0.3">
      <c r="C43" s="1114"/>
      <c r="D43" s="1114"/>
      <c r="E43" s="1114"/>
      <c r="G43" s="96"/>
      <c r="I43" s="27"/>
      <c r="J43" s="27"/>
      <c r="K43" s="27"/>
      <c r="L43" s="27"/>
      <c r="M43" s="27"/>
      <c r="N43" s="27"/>
      <c r="O43" s="27"/>
      <c r="P43" s="27"/>
      <c r="Q43" s="27"/>
      <c r="R43" s="27"/>
    </row>
    <row r="44" spans="2:18" x14ac:dyDescent="0.25">
      <c r="B44" s="837"/>
      <c r="C44" s="838"/>
      <c r="D44" s="838"/>
      <c r="E44" s="838"/>
      <c r="F44" s="838"/>
      <c r="G44" s="839"/>
      <c r="I44" s="27"/>
      <c r="J44" s="27"/>
      <c r="K44" s="27"/>
      <c r="L44" s="27"/>
      <c r="M44" s="27"/>
      <c r="N44" s="27"/>
      <c r="O44" s="27"/>
      <c r="P44" s="27"/>
      <c r="Q44" s="27"/>
      <c r="R44" s="27"/>
    </row>
    <row r="45" spans="2:18" ht="15.75" x14ac:dyDescent="0.3">
      <c r="B45" s="99" t="s">
        <v>42</v>
      </c>
      <c r="C45" s="99" t="s">
        <v>43</v>
      </c>
      <c r="E45" s="99"/>
      <c r="F45" s="99" t="s">
        <v>44</v>
      </c>
      <c r="G45" s="100"/>
      <c r="I45" s="27"/>
      <c r="J45" s="27"/>
      <c r="K45" s="27"/>
      <c r="L45" s="27"/>
      <c r="M45" s="27"/>
      <c r="N45" s="27"/>
      <c r="O45" s="27"/>
      <c r="P45" s="27"/>
      <c r="Q45" s="27"/>
      <c r="R45" s="27"/>
    </row>
    <row r="46" spans="2:18" ht="15.75" x14ac:dyDescent="0.3">
      <c r="B46" s="99"/>
      <c r="C46" s="99"/>
      <c r="E46" s="99"/>
      <c r="F46" s="99"/>
      <c r="G46" s="100"/>
      <c r="I46" s="27"/>
      <c r="J46" s="27"/>
      <c r="K46" s="27"/>
      <c r="L46" s="27"/>
      <c r="M46" s="27"/>
      <c r="N46" s="27"/>
      <c r="O46" s="27"/>
      <c r="P46" s="27"/>
      <c r="Q46" s="27"/>
      <c r="R46" s="27"/>
    </row>
    <row r="47" spans="2:18" ht="15.75" x14ac:dyDescent="0.3">
      <c r="C47" s="99"/>
      <c r="D47" s="99"/>
      <c r="E47" s="99"/>
      <c r="G47" s="101" t="s">
        <v>45</v>
      </c>
      <c r="H47" s="836"/>
      <c r="I47" s="27"/>
      <c r="J47" s="27"/>
      <c r="K47" s="27"/>
      <c r="Q47" s="27"/>
      <c r="R47" s="27"/>
    </row>
    <row r="48" spans="2:18" ht="15.75" x14ac:dyDescent="0.3">
      <c r="C48" s="99"/>
      <c r="D48" s="99"/>
      <c r="E48" s="99"/>
      <c r="G48" s="100"/>
      <c r="H48" s="836"/>
      <c r="I48" s="27"/>
      <c r="J48" s="27"/>
      <c r="K48" s="27"/>
      <c r="Q48" s="27"/>
      <c r="R48" s="27"/>
    </row>
    <row r="49" spans="2:18" ht="15.75" x14ac:dyDescent="0.3">
      <c r="C49" s="99"/>
      <c r="D49" s="99"/>
      <c r="E49" s="99"/>
      <c r="G49" s="100"/>
      <c r="H49" s="836"/>
      <c r="I49" s="27"/>
      <c r="J49" s="27"/>
      <c r="K49" s="27"/>
      <c r="Q49" s="27"/>
      <c r="R49" s="27"/>
    </row>
    <row r="50" spans="2:18" ht="15.75" x14ac:dyDescent="0.3">
      <c r="C50" s="99"/>
      <c r="D50" s="99"/>
      <c r="E50" s="99"/>
      <c r="G50" s="100"/>
      <c r="H50" s="836"/>
      <c r="I50" s="27"/>
      <c r="J50" s="27"/>
      <c r="K50" s="27"/>
      <c r="Q50" s="27"/>
      <c r="R50" s="27"/>
    </row>
    <row r="51" spans="2:18" ht="15.75" x14ac:dyDescent="0.3">
      <c r="C51" s="99"/>
      <c r="D51" s="99"/>
      <c r="E51" s="99"/>
      <c r="G51" s="100"/>
      <c r="H51" s="836"/>
      <c r="I51" s="27"/>
      <c r="J51" s="27"/>
      <c r="K51" s="27"/>
      <c r="Q51" s="27"/>
      <c r="R51" s="27"/>
    </row>
    <row r="52" spans="2:18" ht="19.5" x14ac:dyDescent="0.35">
      <c r="B52" s="14" t="s">
        <v>46</v>
      </c>
      <c r="I52" s="27"/>
      <c r="J52" s="27"/>
      <c r="K52" s="27"/>
      <c r="Q52" s="27"/>
      <c r="R52" s="27"/>
    </row>
    <row r="53" spans="2:18" ht="5.25" customHeight="1" x14ac:dyDescent="0.25">
      <c r="I53" s="27"/>
      <c r="J53" s="27"/>
      <c r="K53" s="27"/>
      <c r="Q53" s="27"/>
      <c r="R53" s="27"/>
    </row>
    <row r="54" spans="2:18" x14ac:dyDescent="0.25">
      <c r="I54" s="27"/>
      <c r="J54" s="27"/>
      <c r="K54" s="27"/>
      <c r="Q54" s="27"/>
      <c r="R54" s="27"/>
    </row>
    <row r="55" spans="2:18" x14ac:dyDescent="0.25">
      <c r="I55" s="27"/>
      <c r="J55" s="27"/>
      <c r="K55" s="27"/>
      <c r="Q55" s="27"/>
      <c r="R55" s="27"/>
    </row>
    <row r="56" spans="2:18" x14ac:dyDescent="0.25">
      <c r="I56" s="27"/>
      <c r="J56" s="27"/>
      <c r="K56" s="27"/>
      <c r="Q56" s="27"/>
      <c r="R56" s="27"/>
    </row>
    <row r="57" spans="2:18" x14ac:dyDescent="0.25">
      <c r="I57" s="27"/>
      <c r="J57" s="27"/>
      <c r="K57" s="27"/>
      <c r="Q57" s="27"/>
      <c r="R57" s="27"/>
    </row>
    <row r="58" spans="2:18" x14ac:dyDescent="0.25">
      <c r="I58" s="27"/>
      <c r="J58" s="27"/>
      <c r="K58" s="27"/>
      <c r="Q58" s="27"/>
      <c r="R58" s="27"/>
    </row>
    <row r="59" spans="2:18" x14ac:dyDescent="0.25">
      <c r="I59" s="27"/>
      <c r="J59" s="27"/>
      <c r="K59" s="27"/>
      <c r="Q59" s="27"/>
      <c r="R59" s="27"/>
    </row>
    <row r="60" spans="2:18" x14ac:dyDescent="0.25">
      <c r="I60" s="27"/>
      <c r="J60" s="27"/>
      <c r="K60" s="27"/>
      <c r="Q60" s="27"/>
      <c r="R60" s="27"/>
    </row>
    <row r="61" spans="2:18" x14ac:dyDescent="0.25">
      <c r="I61" s="27"/>
      <c r="J61" s="27"/>
      <c r="K61" s="27"/>
      <c r="Q61" s="27"/>
      <c r="R61" s="27"/>
    </row>
    <row r="62" spans="2:18" x14ac:dyDescent="0.25">
      <c r="I62" s="27"/>
      <c r="J62" s="27"/>
      <c r="K62" s="27"/>
      <c r="Q62" s="27"/>
      <c r="R62" s="27"/>
    </row>
    <row r="63" spans="2:18" x14ac:dyDescent="0.25">
      <c r="I63" s="27"/>
      <c r="J63" s="27"/>
      <c r="K63" s="27"/>
      <c r="Q63" s="27"/>
      <c r="R63" s="27"/>
    </row>
    <row r="64" spans="2:18" x14ac:dyDescent="0.25">
      <c r="Q64" s="27"/>
      <c r="R64" s="27"/>
    </row>
    <row r="65" spans="17:18" x14ac:dyDescent="0.25">
      <c r="Q65" s="27"/>
      <c r="R65" s="27"/>
    </row>
    <row r="66" spans="17:18" x14ac:dyDescent="0.25">
      <c r="Q66" s="27"/>
      <c r="R66" s="27"/>
    </row>
    <row r="67" spans="17:18" x14ac:dyDescent="0.25">
      <c r="Q67" s="27"/>
      <c r="R67" s="27"/>
    </row>
  </sheetData>
  <sheetProtection algorithmName="SHA-512" hashValue="/N7D/2b37RkX3UvYMaFqqrUh3x+Hf3/09LwmwKIhWt5Xfg9ghwCUHF1UeUwKAEjwW30IMVGQ6qdoSr7qc5rmPg==" saltValue="//WjN6y+A0vzVx+c6IrzGA==" spinCount="100000" sheet="1" objects="1" scenarios="1"/>
  <mergeCells count="22">
    <mergeCell ref="B2:H2"/>
    <mergeCell ref="B4:G4"/>
    <mergeCell ref="C8:D8"/>
    <mergeCell ref="C9:D9"/>
    <mergeCell ref="C19:C20"/>
    <mergeCell ref="E9:G9"/>
    <mergeCell ref="H18:H23"/>
    <mergeCell ref="C7:D7"/>
    <mergeCell ref="D19:D20"/>
    <mergeCell ref="F19:F20"/>
    <mergeCell ref="G19:G20"/>
    <mergeCell ref="C6:D6"/>
    <mergeCell ref="C5:D5"/>
    <mergeCell ref="D18:G18"/>
    <mergeCell ref="E19:E20"/>
    <mergeCell ref="H11:H15"/>
    <mergeCell ref="C41:E41"/>
    <mergeCell ref="C43:E43"/>
    <mergeCell ref="H26:H36"/>
    <mergeCell ref="C38:E38"/>
    <mergeCell ref="C39:E39"/>
    <mergeCell ref="C40:E40"/>
  </mergeCells>
  <conditionalFormatting sqref="E14">
    <cfRule type="cellIs" dxfId="5" priority="1" operator="greaterThan">
      <formula>$D$14</formula>
    </cfRule>
    <cfRule type="cellIs" priority="3" operator="greaterThan">
      <formula>"&gt;$C$14"</formula>
    </cfRule>
  </conditionalFormatting>
  <conditionalFormatting sqref="F14">
    <cfRule type="cellIs" dxfId="4" priority="2" operator="greaterThan">
      <formula>$D$14</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185E-9DD3-44BB-847B-C40263623E5A}">
  <sheetPr codeName="Blad4"/>
  <dimension ref="B2:W122"/>
  <sheetViews>
    <sheetView zoomScale="90" zoomScaleNormal="90" workbookViewId="0">
      <selection activeCell="D50" sqref="D50"/>
    </sheetView>
  </sheetViews>
  <sheetFormatPr defaultColWidth="8.7109375" defaultRowHeight="15" x14ac:dyDescent="0.25"/>
  <cols>
    <col min="1" max="1" width="2.42578125" style="16" customWidth="1"/>
    <col min="2" max="2" width="34.85546875" style="16" customWidth="1"/>
    <col min="3" max="3" width="35" style="16" customWidth="1"/>
    <col min="4" max="17" width="10.7109375" style="16" customWidth="1"/>
    <col min="18" max="18" width="11.85546875" style="16" customWidth="1"/>
    <col min="19" max="19" width="10.42578125" style="16" customWidth="1"/>
    <col min="20" max="20" width="8.7109375" style="16"/>
    <col min="21" max="22" width="10.42578125" style="16" customWidth="1"/>
    <col min="23" max="16384" width="8.7109375" style="16"/>
  </cols>
  <sheetData>
    <row r="2" spans="2:22" ht="15.75" customHeight="1" x14ac:dyDescent="0.25">
      <c r="C2" s="102" t="s">
        <v>47</v>
      </c>
    </row>
    <row r="3" spans="2:22" ht="15.75" customHeight="1" x14ac:dyDescent="0.25"/>
    <row r="4" spans="2:22" ht="15.75" customHeight="1" thickBot="1" x14ac:dyDescent="0.3">
      <c r="V4" s="103"/>
    </row>
    <row r="5" spans="2:22" ht="19.5" customHeight="1" thickBot="1" x14ac:dyDescent="0.3">
      <c r="B5" s="1123" t="s">
        <v>48</v>
      </c>
      <c r="C5" s="1125"/>
      <c r="D5" s="104"/>
      <c r="F5" s="1169" t="s">
        <v>49</v>
      </c>
      <c r="G5" s="1170"/>
      <c r="H5" s="1170"/>
      <c r="I5" s="1170"/>
      <c r="J5" s="1170"/>
      <c r="K5" s="1170"/>
      <c r="L5" s="1170"/>
      <c r="M5" s="1171"/>
    </row>
    <row r="6" spans="2:22" ht="15.75" thickBot="1" x14ac:dyDescent="0.3">
      <c r="B6" s="105" t="s">
        <v>50</v>
      </c>
      <c r="C6" s="208" t="s">
        <v>51</v>
      </c>
      <c r="D6" s="106"/>
      <c r="F6" s="107" t="s">
        <v>52</v>
      </c>
    </row>
    <row r="7" spans="2:22" ht="15.75" customHeight="1" thickBot="1" x14ac:dyDescent="0.3">
      <c r="B7" s="108" t="s">
        <v>53</v>
      </c>
      <c r="C7" s="840"/>
      <c r="H7" s="109"/>
      <c r="I7" s="110" t="s">
        <v>54</v>
      </c>
      <c r="J7" s="212"/>
      <c r="L7" s="110" t="s">
        <v>55</v>
      </c>
      <c r="M7" s="212"/>
      <c r="N7" s="111"/>
    </row>
    <row r="8" spans="2:22" ht="16.5" customHeight="1" thickBot="1" x14ac:dyDescent="0.3">
      <c r="B8" s="112" t="s">
        <v>56</v>
      </c>
      <c r="C8" s="840"/>
      <c r="H8" s="109"/>
      <c r="I8" s="110" t="s">
        <v>57</v>
      </c>
      <c r="J8" s="212" t="s">
        <v>58</v>
      </c>
    </row>
    <row r="9" spans="2:22" ht="15.75" customHeight="1" thickBot="1" x14ac:dyDescent="0.3">
      <c r="B9" s="112" t="s">
        <v>59</v>
      </c>
      <c r="C9" s="209"/>
      <c r="I9" s="109"/>
      <c r="J9" s="212"/>
      <c r="K9" s="113" t="s">
        <v>60</v>
      </c>
      <c r="L9" s="53"/>
    </row>
    <row r="10" spans="2:22" ht="15.75" customHeight="1" thickBot="1" x14ac:dyDescent="0.3">
      <c r="B10" s="112" t="s">
        <v>61</v>
      </c>
      <c r="C10" s="209"/>
      <c r="F10" s="107" t="s">
        <v>62</v>
      </c>
    </row>
    <row r="11" spans="2:22" ht="15.75" customHeight="1" thickBot="1" x14ac:dyDescent="0.35">
      <c r="B11" s="112" t="s">
        <v>63</v>
      </c>
      <c r="C11" s="209" t="s">
        <v>17</v>
      </c>
      <c r="I11" s="109"/>
      <c r="J11" s="109"/>
      <c r="K11" s="109"/>
      <c r="L11" s="114"/>
      <c r="M11" s="115"/>
    </row>
    <row r="12" spans="2:22" ht="15.75" customHeight="1" thickBot="1" x14ac:dyDescent="0.35">
      <c r="B12" s="112" t="s">
        <v>64</v>
      </c>
      <c r="C12" s="209" t="s">
        <v>17</v>
      </c>
      <c r="G12" s="116"/>
      <c r="I12" s="109"/>
      <c r="J12" s="109"/>
      <c r="K12" s="109"/>
      <c r="L12" s="109"/>
      <c r="M12" s="109"/>
      <c r="N12" s="115"/>
    </row>
    <row r="13" spans="2:22" ht="15.75" customHeight="1" thickBot="1" x14ac:dyDescent="0.35">
      <c r="B13" s="105" t="s">
        <v>65</v>
      </c>
      <c r="C13" s="210"/>
      <c r="D13" s="111"/>
      <c r="I13" s="117"/>
      <c r="J13" s="110"/>
      <c r="K13" s="115"/>
      <c r="L13" s="110"/>
      <c r="M13" s="115"/>
      <c r="N13" s="115"/>
    </row>
    <row r="14" spans="2:22" ht="15.75" customHeight="1" thickBot="1" x14ac:dyDescent="0.35">
      <c r="B14" s="112" t="s">
        <v>66</v>
      </c>
      <c r="C14" s="209"/>
      <c r="D14" s="111"/>
      <c r="F14" s="107" t="s">
        <v>67</v>
      </c>
      <c r="I14" s="109"/>
      <c r="J14" s="109"/>
      <c r="K14" s="109"/>
      <c r="L14" s="109"/>
      <c r="M14" s="109"/>
      <c r="N14" s="115"/>
    </row>
    <row r="15" spans="2:22" ht="15.75" customHeight="1" thickBot="1" x14ac:dyDescent="0.35">
      <c r="B15" s="112" t="s">
        <v>68</v>
      </c>
      <c r="C15" s="209"/>
      <c r="D15" s="111"/>
      <c r="H15" s="109"/>
      <c r="I15" s="110" t="s">
        <v>54</v>
      </c>
      <c r="J15" s="212"/>
      <c r="L15" s="110" t="s">
        <v>55</v>
      </c>
      <c r="M15" s="212"/>
      <c r="N15" s="115"/>
    </row>
    <row r="16" spans="2:22" ht="14.25" customHeight="1" thickBot="1" x14ac:dyDescent="0.35">
      <c r="B16" s="112" t="s">
        <v>69</v>
      </c>
      <c r="C16" s="209"/>
      <c r="F16" s="103" t="s">
        <v>17</v>
      </c>
      <c r="H16" s="109"/>
      <c r="I16" s="110" t="s">
        <v>57</v>
      </c>
      <c r="J16" s="212" t="s">
        <v>58</v>
      </c>
      <c r="N16" s="115"/>
    </row>
    <row r="17" spans="2:23" ht="15.75" customHeight="1" thickBot="1" x14ac:dyDescent="0.35">
      <c r="B17" s="112" t="s">
        <v>70</v>
      </c>
      <c r="C17" s="209"/>
      <c r="D17" s="118" t="s">
        <v>71</v>
      </c>
      <c r="M17" s="115"/>
    </row>
    <row r="18" spans="2:23" ht="15.75" customHeight="1" thickBot="1" x14ac:dyDescent="0.3">
      <c r="B18" s="112" t="s">
        <v>72</v>
      </c>
      <c r="C18" s="209" t="s">
        <v>17</v>
      </c>
      <c r="D18" s="118" t="s">
        <v>71</v>
      </c>
      <c r="I18" s="109"/>
    </row>
    <row r="19" spans="2:23" ht="15" customHeight="1" thickBot="1" x14ac:dyDescent="0.3">
      <c r="B19" s="112" t="s">
        <v>73</v>
      </c>
      <c r="C19" s="209"/>
      <c r="F19" s="107" t="s">
        <v>74</v>
      </c>
    </row>
    <row r="20" spans="2:23" ht="15.75" customHeight="1" thickBot="1" x14ac:dyDescent="0.3">
      <c r="B20" s="112" t="s">
        <v>75</v>
      </c>
      <c r="C20" s="210" t="s">
        <v>17</v>
      </c>
    </row>
    <row r="21" spans="2:23" ht="15.75" thickBot="1" x14ac:dyDescent="0.3">
      <c r="B21" s="112" t="s">
        <v>76</v>
      </c>
      <c r="C21" s="210" t="s">
        <v>17</v>
      </c>
      <c r="D21" s="103"/>
      <c r="E21" s="103" t="s">
        <v>17</v>
      </c>
    </row>
    <row r="22" spans="2:23" ht="15.75" thickBot="1" x14ac:dyDescent="0.3">
      <c r="B22" s="112" t="s">
        <v>77</v>
      </c>
      <c r="C22" s="210" t="s">
        <v>17</v>
      </c>
      <c r="D22" s="103"/>
      <c r="E22" s="103"/>
      <c r="F22" s="107" t="s">
        <v>78</v>
      </c>
      <c r="I22" s="119"/>
      <c r="J22" s="841"/>
      <c r="K22" s="113" t="s">
        <v>60</v>
      </c>
    </row>
    <row r="23" spans="2:23" ht="15.75" customHeight="1" thickBot="1" x14ac:dyDescent="0.3">
      <c r="B23" s="105" t="s">
        <v>79</v>
      </c>
      <c r="C23" s="211"/>
      <c r="D23" s="103"/>
      <c r="E23" s="103"/>
      <c r="F23" s="107" t="s">
        <v>80</v>
      </c>
      <c r="I23" s="120"/>
      <c r="J23" s="120"/>
      <c r="K23" s="120"/>
      <c r="W23" s="121"/>
    </row>
    <row r="24" spans="2:23" ht="16.5" customHeight="1" thickBot="1" x14ac:dyDescent="0.35">
      <c r="C24" s="122" t="s">
        <v>81</v>
      </c>
      <c r="D24" s="123">
        <f>'B1. Resultat beräkning'!D23</f>
        <v>0</v>
      </c>
      <c r="E24" s="123">
        <f>'B1. Resultat beräkning'!F23</f>
        <v>0</v>
      </c>
      <c r="F24" s="113"/>
      <c r="L24" s="110"/>
      <c r="N24" s="109"/>
    </row>
    <row r="25" spans="2:23" ht="15.75" customHeight="1" thickBot="1" x14ac:dyDescent="0.3">
      <c r="C25" s="122" t="s">
        <v>82</v>
      </c>
      <c r="D25" s="124" t="str">
        <f>IF(D24&gt;=10,"J","N")</f>
        <v>N</v>
      </c>
      <c r="E25" s="124" t="str">
        <f>IF(E24&gt;=10,"J","N")</f>
        <v>N</v>
      </c>
      <c r="H25" s="113"/>
      <c r="I25" s="119" t="s">
        <v>83</v>
      </c>
      <c r="J25" s="213"/>
      <c r="K25" s="109" t="s">
        <v>84</v>
      </c>
      <c r="N25" s="113"/>
    </row>
    <row r="26" spans="2:23" ht="15.75" thickBot="1" x14ac:dyDescent="0.3">
      <c r="C26" s="125"/>
      <c r="H26" s="126"/>
      <c r="I26" s="113"/>
      <c r="N26" s="53"/>
    </row>
    <row r="27" spans="2:23" ht="20.25" thickBot="1" x14ac:dyDescent="0.3">
      <c r="B27" s="127" t="s">
        <v>85</v>
      </c>
      <c r="C27" s="128"/>
      <c r="D27" s="128"/>
      <c r="E27" s="129"/>
      <c r="I27" s="113"/>
    </row>
    <row r="28" spans="2:23" ht="18.75" x14ac:dyDescent="0.35">
      <c r="B28" s="130"/>
      <c r="C28" s="103"/>
      <c r="D28" s="1172" t="s">
        <v>86</v>
      </c>
      <c r="E28" s="1173"/>
      <c r="H28" s="131"/>
      <c r="I28" s="113"/>
      <c r="J28" s="1180"/>
      <c r="K28" s="1181"/>
      <c r="L28" s="1181"/>
      <c r="M28" s="1182"/>
    </row>
    <row r="29" spans="2:23" ht="16.5" thickBot="1" x14ac:dyDescent="0.35">
      <c r="C29" s="132"/>
      <c r="D29" s="133" t="s">
        <v>87</v>
      </c>
      <c r="E29" s="130" t="s">
        <v>88</v>
      </c>
      <c r="F29" s="130"/>
    </row>
    <row r="30" spans="2:23" ht="20.25" thickBot="1" x14ac:dyDescent="0.3">
      <c r="C30" s="110" t="s">
        <v>89</v>
      </c>
      <c r="D30" s="214"/>
      <c r="E30" s="214"/>
      <c r="G30" s="127" t="s">
        <v>90</v>
      </c>
      <c r="H30" s="134"/>
      <c r="I30" s="134"/>
      <c r="J30" s="134"/>
      <c r="K30" s="134"/>
      <c r="L30" s="134"/>
      <c r="M30" s="134"/>
      <c r="N30" s="134"/>
      <c r="O30" s="134"/>
      <c r="P30" s="134"/>
      <c r="Q30" s="134"/>
      <c r="R30" s="135"/>
    </row>
    <row r="31" spans="2:23" ht="15.75" customHeight="1" thickBot="1" x14ac:dyDescent="0.3">
      <c r="C31" s="110" t="s">
        <v>91</v>
      </c>
      <c r="D31" s="214"/>
      <c r="E31" s="214"/>
      <c r="G31" s="136" t="s">
        <v>92</v>
      </c>
      <c r="H31" s="137"/>
      <c r="I31" s="137"/>
      <c r="J31" s="137"/>
      <c r="K31" s="137"/>
      <c r="L31" s="137"/>
      <c r="M31" s="137"/>
    </row>
    <row r="32" spans="2:23" ht="15.75" customHeight="1" x14ac:dyDescent="0.25">
      <c r="C32" s="110" t="s">
        <v>93</v>
      </c>
      <c r="D32" s="214"/>
      <c r="E32" s="214"/>
      <c r="G32" s="1174" t="s">
        <v>94</v>
      </c>
      <c r="H32" s="1175"/>
      <c r="I32" s="1175"/>
      <c r="J32" s="1176"/>
      <c r="K32" s="1166" t="s">
        <v>95</v>
      </c>
      <c r="L32" s="1166" t="s">
        <v>96</v>
      </c>
      <c r="M32" s="1166" t="s">
        <v>97</v>
      </c>
      <c r="N32" s="1166" t="s">
        <v>98</v>
      </c>
      <c r="O32" s="1166" t="s">
        <v>99</v>
      </c>
      <c r="P32" s="1166" t="s">
        <v>100</v>
      </c>
      <c r="Q32" s="1158" t="s">
        <v>101</v>
      </c>
      <c r="R32" s="1156" t="s">
        <v>102</v>
      </c>
    </row>
    <row r="33" spans="2:20" ht="15.75" thickBot="1" x14ac:dyDescent="0.3">
      <c r="C33" s="110" t="s">
        <v>103</v>
      </c>
      <c r="D33" s="214"/>
      <c r="E33" s="214"/>
      <c r="G33" s="1177" t="s">
        <v>104</v>
      </c>
      <c r="H33" s="1178"/>
      <c r="I33" s="1178"/>
      <c r="J33" s="1179"/>
      <c r="K33" s="1168"/>
      <c r="L33" s="1167"/>
      <c r="M33" s="1167"/>
      <c r="N33" s="1167"/>
      <c r="O33" s="1168"/>
      <c r="P33" s="1168"/>
      <c r="Q33" s="1159"/>
      <c r="R33" s="1157"/>
    </row>
    <row r="34" spans="2:20" ht="15.75" customHeight="1" thickBot="1" x14ac:dyDescent="0.3">
      <c r="C34" s="110" t="s">
        <v>105</v>
      </c>
      <c r="D34" s="214"/>
      <c r="E34" s="214"/>
      <c r="G34" s="1186" t="s">
        <v>106</v>
      </c>
      <c r="H34" s="1187"/>
      <c r="I34" s="1187"/>
      <c r="J34" s="1188"/>
      <c r="K34" s="216"/>
      <c r="L34" s="216"/>
      <c r="M34" s="216"/>
      <c r="N34" s="216"/>
      <c r="O34" s="216"/>
      <c r="P34" s="216"/>
      <c r="Q34" s="5"/>
      <c r="R34" s="5"/>
    </row>
    <row r="35" spans="2:20" ht="16.5" customHeight="1" thickBot="1" x14ac:dyDescent="0.3">
      <c r="C35" s="110" t="s">
        <v>107</v>
      </c>
      <c r="D35" s="214"/>
      <c r="E35" s="214"/>
      <c r="G35" s="1160" t="s">
        <v>108</v>
      </c>
      <c r="H35" s="1161"/>
      <c r="I35" s="1161"/>
      <c r="J35" s="1162"/>
      <c r="K35" s="217"/>
      <c r="L35" s="217"/>
      <c r="M35" s="217"/>
      <c r="N35" s="217"/>
      <c r="O35" s="217"/>
      <c r="P35" s="217"/>
      <c r="Q35" s="6"/>
      <c r="R35" s="6"/>
    </row>
    <row r="36" spans="2:20" ht="15.75" customHeight="1" thickBot="1" x14ac:dyDescent="0.3">
      <c r="C36" s="110" t="s">
        <v>109</v>
      </c>
      <c r="D36" s="214"/>
      <c r="E36" s="214"/>
      <c r="G36" s="1153" t="s">
        <v>110</v>
      </c>
      <c r="H36" s="1154"/>
      <c r="I36" s="1154"/>
      <c r="J36" s="1155"/>
      <c r="K36" s="218"/>
      <c r="L36" s="218" t="s">
        <v>17</v>
      </c>
      <c r="M36" s="218" t="s">
        <v>17</v>
      </c>
      <c r="N36" s="218" t="s">
        <v>17</v>
      </c>
      <c r="O36" s="218"/>
      <c r="P36" s="218" t="s">
        <v>17</v>
      </c>
      <c r="Q36" s="6"/>
      <c r="R36" s="6"/>
    </row>
    <row r="37" spans="2:20" ht="15.75" customHeight="1" thickBot="1" x14ac:dyDescent="0.3">
      <c r="C37" s="110" t="s">
        <v>111</v>
      </c>
      <c r="D37" s="214"/>
      <c r="E37" s="214"/>
      <c r="G37" s="1153" t="s">
        <v>112</v>
      </c>
      <c r="H37" s="1154"/>
      <c r="I37" s="1154"/>
      <c r="J37" s="1155"/>
      <c r="K37" s="218"/>
      <c r="L37" s="218" t="s">
        <v>17</v>
      </c>
      <c r="M37" s="218"/>
      <c r="N37" s="218" t="s">
        <v>17</v>
      </c>
      <c r="O37" s="218"/>
      <c r="P37" s="218" t="s">
        <v>17</v>
      </c>
      <c r="Q37" s="6"/>
      <c r="R37" s="6"/>
    </row>
    <row r="38" spans="2:20" ht="15.75" customHeight="1" thickBot="1" x14ac:dyDescent="0.3">
      <c r="C38" s="110" t="s">
        <v>113</v>
      </c>
      <c r="D38" s="214"/>
      <c r="E38" s="214"/>
      <c r="G38" s="1153" t="s">
        <v>114</v>
      </c>
      <c r="H38" s="1154"/>
      <c r="I38" s="1154"/>
      <c r="J38" s="1155"/>
      <c r="K38" s="218"/>
      <c r="L38" s="218"/>
      <c r="M38" s="218"/>
      <c r="N38" s="218"/>
      <c r="O38" s="218"/>
      <c r="P38" s="218"/>
      <c r="Q38" s="6"/>
      <c r="R38" s="6"/>
    </row>
    <row r="39" spans="2:20" ht="15.75" customHeight="1" thickBot="1" x14ac:dyDescent="0.3">
      <c r="C39" s="110" t="s">
        <v>115</v>
      </c>
      <c r="D39" s="214"/>
      <c r="E39" s="214"/>
      <c r="G39" s="1153" t="s">
        <v>116</v>
      </c>
      <c r="H39" s="1154"/>
      <c r="I39" s="1154"/>
      <c r="J39" s="1155"/>
      <c r="K39" s="218"/>
      <c r="L39" s="218"/>
      <c r="M39" s="218"/>
      <c r="N39" s="218"/>
      <c r="O39" s="218"/>
      <c r="P39" s="218"/>
      <c r="Q39" s="6"/>
      <c r="R39" s="6"/>
    </row>
    <row r="40" spans="2:20" ht="15.75" thickBot="1" x14ac:dyDescent="0.3">
      <c r="C40" s="110" t="s">
        <v>117</v>
      </c>
      <c r="D40" s="214"/>
      <c r="E40" s="214"/>
      <c r="G40" s="1153" t="s">
        <v>118</v>
      </c>
      <c r="H40" s="1154"/>
      <c r="I40" s="1154"/>
      <c r="J40" s="1155"/>
      <c r="K40" s="218"/>
      <c r="L40" s="218" t="s">
        <v>17</v>
      </c>
      <c r="M40" s="218" t="s">
        <v>17</v>
      </c>
      <c r="N40" s="218" t="s">
        <v>17</v>
      </c>
      <c r="O40" s="218"/>
      <c r="P40" s="218" t="s">
        <v>17</v>
      </c>
      <c r="Q40" s="6"/>
      <c r="R40" s="6"/>
    </row>
    <row r="41" spans="2:20" ht="15.75" customHeight="1" thickBot="1" x14ac:dyDescent="0.3">
      <c r="C41" s="110" t="s">
        <v>119</v>
      </c>
      <c r="D41" s="214"/>
      <c r="E41" s="214"/>
      <c r="G41" s="1153" t="s">
        <v>120</v>
      </c>
      <c r="H41" s="1154"/>
      <c r="I41" s="1154"/>
      <c r="J41" s="1155"/>
      <c r="K41" s="218"/>
      <c r="L41" s="218"/>
      <c r="M41" s="218" t="s">
        <v>17</v>
      </c>
      <c r="N41" s="218" t="s">
        <v>17</v>
      </c>
      <c r="O41" s="218"/>
      <c r="P41" s="218" t="s">
        <v>17</v>
      </c>
      <c r="Q41" s="6"/>
      <c r="R41" s="6"/>
      <c r="T41" s="111" t="s">
        <v>121</v>
      </c>
    </row>
    <row r="42" spans="2:20" ht="15.75" customHeight="1" thickBot="1" x14ac:dyDescent="0.3">
      <c r="C42" s="110" t="s">
        <v>122</v>
      </c>
      <c r="D42" s="215"/>
      <c r="E42" s="215"/>
      <c r="G42" s="1153" t="s">
        <v>123</v>
      </c>
      <c r="H42" s="1154"/>
      <c r="I42" s="1154"/>
      <c r="J42" s="1155"/>
      <c r="K42" s="218"/>
      <c r="L42" s="218" t="s">
        <v>17</v>
      </c>
      <c r="M42" s="218" t="s">
        <v>17</v>
      </c>
      <c r="N42" s="218" t="s">
        <v>17</v>
      </c>
      <c r="O42" s="218"/>
      <c r="P42" s="218" t="s">
        <v>17</v>
      </c>
      <c r="Q42" s="6"/>
      <c r="R42" s="6"/>
      <c r="T42" s="138" t="s">
        <v>124</v>
      </c>
    </row>
    <row r="43" spans="2:20" ht="16.5" customHeight="1" thickBot="1" x14ac:dyDescent="0.4">
      <c r="C43" s="110" t="s">
        <v>970</v>
      </c>
      <c r="D43" s="139">
        <f>SUM(D30:D42)</f>
        <v>0</v>
      </c>
      <c r="E43" s="139">
        <f>SUM(E30:E42)</f>
        <v>0</v>
      </c>
      <c r="F43" s="16" t="s">
        <v>125</v>
      </c>
      <c r="G43" s="1153" t="s">
        <v>126</v>
      </c>
      <c r="H43" s="1154"/>
      <c r="I43" s="1154"/>
      <c r="J43" s="1155"/>
      <c r="K43" s="218"/>
      <c r="L43" s="218" t="s">
        <v>17</v>
      </c>
      <c r="M43" s="218" t="s">
        <v>17</v>
      </c>
      <c r="N43" s="218" t="s">
        <v>17</v>
      </c>
      <c r="O43" s="218"/>
      <c r="P43" s="218" t="s">
        <v>17</v>
      </c>
      <c r="Q43" s="6"/>
      <c r="R43" s="6"/>
      <c r="T43" s="140" t="s">
        <v>971</v>
      </c>
    </row>
    <row r="44" spans="2:20" ht="15.75" customHeight="1" thickBot="1" x14ac:dyDescent="0.3">
      <c r="C44" s="119" t="s">
        <v>127</v>
      </c>
      <c r="D44" s="141">
        <f>IF(D43=0,0,SUM(D31:D42)/D43*100)</f>
        <v>0</v>
      </c>
      <c r="E44" s="141">
        <f>IF(E43=0,0,SUM(E31:E42)/E43*100)</f>
        <v>0</v>
      </c>
      <c r="F44" s="16" t="s">
        <v>84</v>
      </c>
      <c r="G44" s="1153" t="s">
        <v>128</v>
      </c>
      <c r="H44" s="1154"/>
      <c r="I44" s="1154"/>
      <c r="J44" s="1155"/>
      <c r="K44" s="218"/>
      <c r="L44" s="218" t="s">
        <v>17</v>
      </c>
      <c r="M44" s="218" t="s">
        <v>17</v>
      </c>
      <c r="N44" s="218" t="s">
        <v>17</v>
      </c>
      <c r="O44" s="218"/>
      <c r="P44" s="218" t="s">
        <v>17</v>
      </c>
      <c r="Q44" s="6"/>
      <c r="R44" s="6"/>
      <c r="T44" s="138" t="s">
        <v>129</v>
      </c>
    </row>
    <row r="45" spans="2:20" ht="15.75" customHeight="1" thickBot="1" x14ac:dyDescent="0.3">
      <c r="C45" s="119" t="s">
        <v>130</v>
      </c>
      <c r="D45" s="142">
        <f>IF(D43=0,0,D30/D43*100)</f>
        <v>0</v>
      </c>
      <c r="E45" s="142">
        <f>IF(E43=0,0,E30/E43*100)</f>
        <v>0</v>
      </c>
      <c r="F45" s="16" t="s">
        <v>84</v>
      </c>
      <c r="G45" s="1153" t="s">
        <v>131</v>
      </c>
      <c r="H45" s="1154"/>
      <c r="I45" s="1154"/>
      <c r="J45" s="1155"/>
      <c r="K45" s="218"/>
      <c r="L45" s="218" t="s">
        <v>17</v>
      </c>
      <c r="M45" s="218" t="s">
        <v>17</v>
      </c>
      <c r="N45" s="218" t="s">
        <v>17</v>
      </c>
      <c r="O45" s="218"/>
      <c r="P45" s="218" t="s">
        <v>17</v>
      </c>
      <c r="Q45" s="6"/>
      <c r="R45" s="6"/>
      <c r="T45" s="138" t="s">
        <v>132</v>
      </c>
    </row>
    <row r="46" spans="2:20" ht="15.75" customHeight="1" thickBot="1" x14ac:dyDescent="0.3">
      <c r="G46" s="1153" t="s">
        <v>133</v>
      </c>
      <c r="H46" s="1154"/>
      <c r="I46" s="1154"/>
      <c r="J46" s="1155"/>
      <c r="K46" s="219"/>
      <c r="L46" s="219" t="s">
        <v>17</v>
      </c>
      <c r="M46" s="219" t="s">
        <v>17</v>
      </c>
      <c r="N46" s="219" t="s">
        <v>17</v>
      </c>
      <c r="O46" s="219"/>
      <c r="P46" s="219" t="s">
        <v>17</v>
      </c>
      <c r="Q46" s="220"/>
      <c r="R46" s="220"/>
      <c r="T46" s="138" t="s">
        <v>134</v>
      </c>
    </row>
    <row r="47" spans="2:20" ht="16.5" customHeight="1" thickBot="1" x14ac:dyDescent="0.3">
      <c r="B47" s="121"/>
      <c r="G47" s="1160" t="s">
        <v>135</v>
      </c>
      <c r="H47" s="1161"/>
      <c r="I47" s="1161"/>
      <c r="J47" s="1162"/>
      <c r="K47" s="1183"/>
      <c r="L47" s="1184"/>
      <c r="M47" s="1184"/>
      <c r="N47" s="1184"/>
      <c r="O47" s="1184"/>
      <c r="P47" s="1184"/>
      <c r="Q47" s="1185"/>
      <c r="R47" s="220"/>
      <c r="T47" s="140" t="s">
        <v>136</v>
      </c>
    </row>
    <row r="48" spans="2:20" ht="16.5" customHeight="1" thickBot="1" x14ac:dyDescent="0.3">
      <c r="B48" s="127" t="s">
        <v>137</v>
      </c>
      <c r="C48" s="128"/>
      <c r="D48" s="128"/>
      <c r="E48" s="128"/>
      <c r="F48" s="129"/>
      <c r="G48" s="1163" t="s">
        <v>972</v>
      </c>
      <c r="H48" s="1164"/>
      <c r="I48" s="1164"/>
      <c r="J48" s="1165"/>
      <c r="K48" s="805"/>
      <c r="L48" s="805"/>
      <c r="M48" s="805"/>
      <c r="N48" s="805" t="s">
        <v>17</v>
      </c>
      <c r="O48" s="805"/>
      <c r="P48" s="805" t="s">
        <v>17</v>
      </c>
      <c r="Q48" s="806"/>
      <c r="R48" s="221"/>
      <c r="T48" s="140" t="s">
        <v>139</v>
      </c>
    </row>
    <row r="49" spans="2:18" ht="20.25" customHeight="1" thickBot="1" x14ac:dyDescent="0.3">
      <c r="B49" s="144"/>
      <c r="D49" s="145" t="str">
        <f>D29</f>
        <v>Vid startbesked</v>
      </c>
      <c r="E49" s="146" t="str">
        <f>E29</f>
        <v>Vid slutbesked</v>
      </c>
      <c r="G49" s="1150" t="s">
        <v>138</v>
      </c>
      <c r="H49" s="1151"/>
      <c r="I49" s="1151"/>
      <c r="J49" s="1152"/>
      <c r="K49" s="807"/>
      <c r="L49" s="807"/>
      <c r="M49" s="807"/>
      <c r="N49" s="807" t="s">
        <v>17</v>
      </c>
      <c r="O49" s="807"/>
      <c r="P49" s="807" t="s">
        <v>17</v>
      </c>
      <c r="Q49" s="808"/>
      <c r="R49" s="221"/>
    </row>
    <row r="50" spans="2:18" ht="15" customHeight="1" x14ac:dyDescent="0.3">
      <c r="B50" s="147"/>
      <c r="C50" s="148" t="s">
        <v>141</v>
      </c>
      <c r="D50" s="222">
        <v>29</v>
      </c>
      <c r="E50" s="149">
        <f>D50</f>
        <v>29</v>
      </c>
      <c r="F50" s="113"/>
      <c r="H50" s="794" t="s">
        <v>140</v>
      </c>
      <c r="N50" s="113"/>
    </row>
    <row r="51" spans="2:18" ht="15" customHeight="1" x14ac:dyDescent="0.25">
      <c r="B51" s="147"/>
      <c r="C51" s="148" t="s">
        <v>143</v>
      </c>
      <c r="D51" s="151">
        <f>VLOOKUP(C6,Tabell1[],2)</f>
        <v>0.9</v>
      </c>
      <c r="E51" s="151">
        <f>D51</f>
        <v>0.9</v>
      </c>
      <c r="F51" s="113"/>
      <c r="H51" s="150" t="s">
        <v>142</v>
      </c>
      <c r="N51" s="113"/>
    </row>
    <row r="52" spans="2:18" ht="15" customHeight="1" x14ac:dyDescent="0.3">
      <c r="C52" s="148" t="s">
        <v>145</v>
      </c>
      <c r="D52" s="152">
        <f>D44/100*D43</f>
        <v>0</v>
      </c>
      <c r="E52" s="152">
        <f>E44/100*E43</f>
        <v>0</v>
      </c>
      <c r="F52" s="113" t="s">
        <v>146</v>
      </c>
      <c r="G52" s="111"/>
      <c r="H52" s="150" t="s">
        <v>144</v>
      </c>
    </row>
    <row r="53" spans="2:18" ht="15" customHeight="1" x14ac:dyDescent="0.3">
      <c r="C53" s="148" t="s">
        <v>147</v>
      </c>
      <c r="D53" s="152">
        <f>D45/100*D43</f>
        <v>0</v>
      </c>
      <c r="E53" s="152">
        <f>E45/100*E43</f>
        <v>0</v>
      </c>
      <c r="F53" s="113" t="s">
        <v>146</v>
      </c>
      <c r="G53" s="140"/>
    </row>
    <row r="54" spans="2:18" ht="15" customHeight="1" x14ac:dyDescent="0.3">
      <c r="B54" s="118"/>
      <c r="C54" s="148" t="s">
        <v>149</v>
      </c>
      <c r="D54" s="223"/>
      <c r="E54" s="154">
        <f>D54</f>
        <v>0</v>
      </c>
      <c r="F54" s="113" t="s">
        <v>84</v>
      </c>
      <c r="G54" s="131"/>
      <c r="H54" s="153" t="s">
        <v>148</v>
      </c>
    </row>
    <row r="55" spans="2:18" ht="15" customHeight="1" thickBot="1" x14ac:dyDescent="0.35">
      <c r="C55" s="155" t="s">
        <v>151</v>
      </c>
      <c r="D55" s="224"/>
      <c r="E55" s="156">
        <f>D55</f>
        <v>0</v>
      </c>
      <c r="F55" s="113" t="s">
        <v>152</v>
      </c>
      <c r="H55" s="153" t="s">
        <v>150</v>
      </c>
      <c r="K55" s="62"/>
    </row>
    <row r="56" spans="2:18" ht="15" customHeight="1" x14ac:dyDescent="0.35">
      <c r="B56" s="159"/>
      <c r="C56" s="107" t="s">
        <v>154</v>
      </c>
      <c r="G56" s="113"/>
      <c r="J56" s="157"/>
      <c r="K56" s="158">
        <f>D43*D44/100</f>
        <v>0</v>
      </c>
      <c r="L56" s="113" t="s">
        <v>153</v>
      </c>
    </row>
    <row r="57" spans="2:18" ht="15" customHeight="1" x14ac:dyDescent="0.35">
      <c r="B57" s="159"/>
      <c r="C57" s="148" t="s">
        <v>157</v>
      </c>
      <c r="D57" s="161">
        <f>IF(D50=25,H68+K68,H67+K67)</f>
        <v>56</v>
      </c>
      <c r="E57" s="161">
        <f>IF(E50=25,H68+K68,H67+K67)</f>
        <v>56</v>
      </c>
      <c r="F57" s="109" t="s">
        <v>158</v>
      </c>
      <c r="J57" s="160" t="s">
        <v>155</v>
      </c>
      <c r="K57" s="225"/>
      <c r="L57" s="109" t="s">
        <v>156</v>
      </c>
    </row>
    <row r="58" spans="2:18" ht="15.75" customHeight="1" x14ac:dyDescent="0.3">
      <c r="C58" s="148" t="s">
        <v>161</v>
      </c>
      <c r="D58" s="161">
        <f>IF(D50=25,G68+J68,G67+J67)</f>
        <v>75</v>
      </c>
      <c r="E58" s="161">
        <f>IF(E50=25,G68+J68,G67+J67)</f>
        <v>75</v>
      </c>
      <c r="F58" s="109" t="s">
        <v>158</v>
      </c>
      <c r="J58" s="160" t="s">
        <v>159</v>
      </c>
      <c r="K58" s="162">
        <f>IF(K56&gt;0,(K57*7+K56*0.35)/K56,0)</f>
        <v>0</v>
      </c>
      <c r="L58" s="163" t="s">
        <v>160</v>
      </c>
    </row>
    <row r="59" spans="2:18" ht="15" customHeight="1" x14ac:dyDescent="0.3">
      <c r="C59" s="148" t="s">
        <v>163</v>
      </c>
      <c r="D59" s="165">
        <f>(D44*D57+D45*D58)/100</f>
        <v>0</v>
      </c>
      <c r="E59" s="165">
        <f>(E44*E57+E45*E58)/100</f>
        <v>0</v>
      </c>
      <c r="F59" s="109" t="s">
        <v>158</v>
      </c>
      <c r="J59" s="164" t="s">
        <v>162</v>
      </c>
      <c r="K59" s="226"/>
      <c r="L59" s="163" t="s">
        <v>160</v>
      </c>
    </row>
    <row r="60" spans="2:18" ht="15" customHeight="1" x14ac:dyDescent="0.3">
      <c r="C60" s="166" t="s">
        <v>166</v>
      </c>
      <c r="D60" s="113"/>
      <c r="E60" s="113"/>
      <c r="J60" s="164" t="s">
        <v>164</v>
      </c>
      <c r="K60" s="227"/>
      <c r="L60" s="163" t="s">
        <v>165</v>
      </c>
    </row>
    <row r="61" spans="2:18" ht="15" customHeight="1" x14ac:dyDescent="0.3">
      <c r="C61" s="119" t="s">
        <v>157</v>
      </c>
      <c r="D61" s="149">
        <f>IF(D50=25,H72,H71)</f>
        <v>0.5</v>
      </c>
      <c r="E61" s="149">
        <f>IF(E50=25,H72,H71)</f>
        <v>0.5</v>
      </c>
      <c r="F61" s="109" t="s">
        <v>168</v>
      </c>
      <c r="G61" s="167"/>
      <c r="J61" s="160" t="s">
        <v>167</v>
      </c>
      <c r="K61" s="228"/>
      <c r="L61" s="163" t="s">
        <v>160</v>
      </c>
    </row>
    <row r="62" spans="2:18" ht="16.5" thickBot="1" x14ac:dyDescent="0.35">
      <c r="C62" s="119" t="s">
        <v>161</v>
      </c>
      <c r="D62" s="149">
        <f>IF(D50=25,G72,G71)</f>
        <v>0.4</v>
      </c>
      <c r="E62" s="149">
        <f>IF(E50=25,G72,G71)</f>
        <v>0.4</v>
      </c>
      <c r="F62" s="109" t="s">
        <v>168</v>
      </c>
      <c r="G62" s="131"/>
      <c r="J62" s="168" t="s">
        <v>169</v>
      </c>
      <c r="K62" s="169">
        <f>(K59*K60+K61*(168-K60))/168</f>
        <v>0</v>
      </c>
      <c r="L62" s="163" t="s">
        <v>160</v>
      </c>
    </row>
    <row r="63" spans="2:18" x14ac:dyDescent="0.25">
      <c r="C63" s="119" t="s">
        <v>163</v>
      </c>
      <c r="D63" s="149">
        <f>(D44*D61+D45*D62)/100</f>
        <v>0</v>
      </c>
      <c r="E63" s="170">
        <f>(E44*E61+E45*E62)/100</f>
        <v>0</v>
      </c>
      <c r="F63" s="109" t="s">
        <v>168</v>
      </c>
      <c r="H63" s="140" t="s">
        <v>973</v>
      </c>
    </row>
    <row r="64" spans="2:18" x14ac:dyDescent="0.25">
      <c r="E64" s="171"/>
    </row>
    <row r="65" spans="2:12" ht="16.5" thickBot="1" x14ac:dyDescent="0.35">
      <c r="B65" s="171"/>
      <c r="C65" s="171"/>
      <c r="D65" s="172" t="s">
        <v>170</v>
      </c>
      <c r="E65" s="172"/>
      <c r="F65" s="130"/>
      <c r="G65" s="62"/>
      <c r="I65" s="130" t="s">
        <v>171</v>
      </c>
      <c r="K65" s="62"/>
    </row>
    <row r="66" spans="2:12" ht="43.5" thickBot="1" x14ac:dyDescent="0.35">
      <c r="B66" s="171"/>
      <c r="C66" s="173" t="s">
        <v>172</v>
      </c>
      <c r="D66" s="174" t="s">
        <v>173</v>
      </c>
      <c r="E66" s="174" t="s">
        <v>174</v>
      </c>
      <c r="F66" s="175" t="s">
        <v>175</v>
      </c>
      <c r="G66" s="174" t="s">
        <v>176</v>
      </c>
      <c r="H66" s="174" t="s">
        <v>177</v>
      </c>
      <c r="I66" s="174" t="s">
        <v>178</v>
      </c>
      <c r="J66" s="174" t="s">
        <v>176</v>
      </c>
      <c r="K66" s="174" t="s">
        <v>177</v>
      </c>
    </row>
    <row r="67" spans="2:12" x14ac:dyDescent="0.25">
      <c r="B67" s="171"/>
      <c r="C67" s="176" t="s">
        <v>179</v>
      </c>
      <c r="D67" s="177">
        <v>100</v>
      </c>
      <c r="E67" s="178">
        <v>95</v>
      </c>
      <c r="F67" s="178">
        <v>90</v>
      </c>
      <c r="G67" s="178">
        <v>75</v>
      </c>
      <c r="H67" s="178">
        <v>70</v>
      </c>
      <c r="I67" s="179"/>
      <c r="J67" s="180">
        <f>IF(D54&gt;50,40*(D55-0.35),0)</f>
        <v>0</v>
      </c>
      <c r="K67" s="181">
        <f>40*(D55-0.35)</f>
        <v>-14</v>
      </c>
      <c r="L67" s="163" t="s">
        <v>158</v>
      </c>
    </row>
    <row r="68" spans="2:12" x14ac:dyDescent="0.25">
      <c r="B68" s="171"/>
      <c r="C68" s="182" t="s">
        <v>180</v>
      </c>
      <c r="D68" s="183">
        <v>90</v>
      </c>
      <c r="E68" s="184">
        <v>90</v>
      </c>
      <c r="F68" s="184">
        <v>90</v>
      </c>
      <c r="G68" s="184">
        <v>85</v>
      </c>
      <c r="H68" s="184">
        <v>80</v>
      </c>
      <c r="I68" s="185"/>
      <c r="J68" s="186">
        <f>IF(D54&gt;50,70*(D55-0.35),0)</f>
        <v>0</v>
      </c>
      <c r="K68" s="187">
        <f>70*(D55-0.35)</f>
        <v>-24.5</v>
      </c>
      <c r="L68" s="163" t="s">
        <v>158</v>
      </c>
    </row>
    <row r="69" spans="2:12" x14ac:dyDescent="0.25">
      <c r="B69" s="171"/>
      <c r="C69" s="176" t="s">
        <v>181</v>
      </c>
      <c r="D69" s="188">
        <f t="shared" ref="D69:H70" si="0">4.5+IF($D$51&lt;1,0,1.7*($D$51-1))</f>
        <v>4.5</v>
      </c>
      <c r="E69" s="188">
        <f t="shared" si="0"/>
        <v>4.5</v>
      </c>
      <c r="F69" s="188">
        <f t="shared" si="0"/>
        <v>4.5</v>
      </c>
      <c r="G69" s="188">
        <f t="shared" si="0"/>
        <v>4.5</v>
      </c>
      <c r="H69" s="188">
        <f t="shared" si="0"/>
        <v>4.5</v>
      </c>
      <c r="I69" s="189">
        <f>IF(D51&lt;1,(0.025)*(D53-130),(0.025+0.02*(D51-1))*(D53-130))</f>
        <v>-3.25</v>
      </c>
      <c r="J69" s="190">
        <f>IF(D51&lt;1,0.025*(D53-130)+0.022*(D55-0.35)*D53,(0.025+0.02*(D51-1))*(D53-130)+(0.022+0.02*(D51-1))*(D55-0.35)*D53)</f>
        <v>-3.25</v>
      </c>
      <c r="K69" s="191">
        <f>IF(D51&lt;1,0.025*(D52-130)+0.022*(D55-0.35)*D52,(0.025+0.02*(D51-1))*(D52-130)+(0.022+0.02*(D51-1))*(D55-0.35)*D52)</f>
        <v>-3.25</v>
      </c>
      <c r="L69" s="109" t="s">
        <v>182</v>
      </c>
    </row>
    <row r="70" spans="2:12" x14ac:dyDescent="0.25">
      <c r="B70" s="171"/>
      <c r="C70" s="182" t="s">
        <v>183</v>
      </c>
      <c r="D70" s="192">
        <f t="shared" si="0"/>
        <v>4.5</v>
      </c>
      <c r="E70" s="192">
        <f t="shared" si="0"/>
        <v>4.5</v>
      </c>
      <c r="F70" s="192">
        <f t="shared" si="0"/>
        <v>4.5</v>
      </c>
      <c r="G70" s="192">
        <f t="shared" si="0"/>
        <v>4.5</v>
      </c>
      <c r="H70" s="192">
        <f t="shared" si="0"/>
        <v>4.5</v>
      </c>
      <c r="I70" s="189">
        <f>IF(D51&lt;1,(0.025)*(D53-130),(0.025+0.02*(D51-1))*(D53-130))</f>
        <v>-3.25</v>
      </c>
      <c r="J70" s="190">
        <f>IF(D51&lt;1,0.025*(D53-130)+0.022*(D55-0.35)*D53,(0.025+0.02*(D51-1))*(D53-130)+(0.022+0.02*(D51-1))*(D55-0.35)*D53)</f>
        <v>-3.25</v>
      </c>
      <c r="K70" s="191">
        <f>IF(D51&lt;1,0.025*(D52-130)+0.022*(D55-0.35)*D52,(0.025+0.02*(D51-1))*(D52-130)+(0.022+0.02*(D51-1))*(D55-0.35)*D52)</f>
        <v>-3.25</v>
      </c>
      <c r="L70" s="109" t="s">
        <v>182</v>
      </c>
    </row>
    <row r="71" spans="2:12" ht="15.75" x14ac:dyDescent="0.3">
      <c r="B71" s="171"/>
      <c r="C71" s="176" t="s">
        <v>184</v>
      </c>
      <c r="D71" s="193">
        <v>0.3</v>
      </c>
      <c r="E71" s="188">
        <v>0.3</v>
      </c>
      <c r="F71" s="188">
        <v>0.3</v>
      </c>
      <c r="G71" s="188">
        <v>0.4</v>
      </c>
      <c r="H71" s="188">
        <v>0.5</v>
      </c>
      <c r="I71" s="194"/>
      <c r="J71" s="195"/>
      <c r="K71" s="196"/>
      <c r="L71" s="113" t="s">
        <v>185</v>
      </c>
    </row>
    <row r="72" spans="2:12" ht="16.5" thickBot="1" x14ac:dyDescent="0.35">
      <c r="B72" s="171"/>
      <c r="C72" s="197" t="s">
        <v>186</v>
      </c>
      <c r="D72" s="198">
        <v>0.4</v>
      </c>
      <c r="E72" s="199">
        <v>0.4</v>
      </c>
      <c r="F72" s="199">
        <v>0.4</v>
      </c>
      <c r="G72" s="199">
        <v>0.4</v>
      </c>
      <c r="H72" s="199">
        <v>0.6</v>
      </c>
      <c r="I72" s="200"/>
      <c r="J72" s="201"/>
      <c r="K72" s="202"/>
      <c r="L72" s="113" t="s">
        <v>185</v>
      </c>
    </row>
    <row r="73" spans="2:12" ht="15.75" x14ac:dyDescent="0.25">
      <c r="B73" s="171"/>
      <c r="D73" s="203"/>
      <c r="E73" s="203"/>
      <c r="F73" s="203"/>
    </row>
    <row r="74" spans="2:12" ht="15.75" x14ac:dyDescent="0.3">
      <c r="E74" s="171"/>
      <c r="F74" s="171"/>
      <c r="G74" s="204"/>
      <c r="H74" s="204"/>
    </row>
    <row r="75" spans="2:12" ht="16.5" x14ac:dyDescent="0.3">
      <c r="B75" s="737" t="s">
        <v>187</v>
      </c>
      <c r="C75" s="205"/>
      <c r="F75" s="738" t="s">
        <v>188</v>
      </c>
    </row>
    <row r="76" spans="2:12" ht="15.75" x14ac:dyDescent="0.3">
      <c r="B76" s="115"/>
      <c r="C76" s="206"/>
      <c r="D76" s="204"/>
      <c r="E76" s="204"/>
      <c r="F76" s="204"/>
    </row>
    <row r="77" spans="2:12" ht="15.75" x14ac:dyDescent="0.3">
      <c r="B77" s="171"/>
      <c r="C77" s="171"/>
      <c r="E77" s="204"/>
      <c r="F77" s="204"/>
    </row>
    <row r="78" spans="2:12" ht="15.75" x14ac:dyDescent="0.3">
      <c r="B78" s="172"/>
      <c r="C78" s="205"/>
    </row>
    <row r="79" spans="2:12" ht="15.75" x14ac:dyDescent="0.3">
      <c r="B79" s="115"/>
      <c r="C79" s="206"/>
    </row>
    <row r="80" spans="2:12" x14ac:dyDescent="0.25">
      <c r="B80" s="171"/>
      <c r="C80" s="171"/>
    </row>
    <row r="81" spans="2:3" ht="15.75" x14ac:dyDescent="0.3">
      <c r="B81" s="115"/>
      <c r="C81" s="207"/>
    </row>
    <row r="100" spans="2:14" x14ac:dyDescent="0.25">
      <c r="B100" s="113" t="s">
        <v>189</v>
      </c>
      <c r="C100" s="27"/>
      <c r="F100" s="113" t="s">
        <v>190</v>
      </c>
    </row>
    <row r="101" spans="2:14" x14ac:dyDescent="0.25">
      <c r="B101" s="113" t="s">
        <v>191</v>
      </c>
      <c r="C101" s="27"/>
      <c r="F101" s="113" t="s">
        <v>192</v>
      </c>
      <c r="G101" s="113"/>
      <c r="H101" s="113"/>
      <c r="I101" s="113"/>
      <c r="J101" s="113"/>
      <c r="K101" s="113"/>
      <c r="L101" s="113"/>
      <c r="M101" s="113"/>
      <c r="N101" s="113"/>
    </row>
    <row r="102" spans="2:14" x14ac:dyDescent="0.25">
      <c r="B102" s="113" t="s">
        <v>193</v>
      </c>
      <c r="C102" s="27"/>
      <c r="F102" s="113" t="s">
        <v>193</v>
      </c>
      <c r="G102" s="113"/>
      <c r="H102" s="113"/>
      <c r="I102" s="113"/>
      <c r="J102" s="113"/>
      <c r="K102" s="113"/>
      <c r="L102" s="113"/>
      <c r="M102" s="113"/>
      <c r="N102" s="113"/>
    </row>
    <row r="103" spans="2:14" x14ac:dyDescent="0.25">
      <c r="B103" s="113" t="s">
        <v>194</v>
      </c>
      <c r="F103" s="113" t="s">
        <v>195</v>
      </c>
      <c r="G103" s="113"/>
      <c r="H103" s="113"/>
      <c r="I103" s="113"/>
      <c r="J103" s="113"/>
      <c r="K103" s="113"/>
      <c r="L103" s="113"/>
      <c r="M103" s="113"/>
      <c r="N103" s="113"/>
    </row>
    <row r="104" spans="2:14" x14ac:dyDescent="0.25">
      <c r="B104" s="113" t="s">
        <v>196</v>
      </c>
      <c r="F104" s="113" t="s">
        <v>196</v>
      </c>
      <c r="G104" s="113"/>
      <c r="H104" s="113"/>
      <c r="I104" s="113"/>
      <c r="J104" s="113"/>
      <c r="K104" s="113"/>
      <c r="L104" s="113"/>
      <c r="M104" s="113"/>
      <c r="N104" s="113"/>
    </row>
    <row r="105" spans="2:14" x14ac:dyDescent="0.25">
      <c r="B105" s="113" t="s">
        <v>197</v>
      </c>
      <c r="F105" s="113" t="s">
        <v>197</v>
      </c>
      <c r="G105" s="113"/>
      <c r="H105" s="113"/>
      <c r="I105" s="113"/>
      <c r="J105" s="113"/>
      <c r="K105" s="113"/>
      <c r="L105" s="113"/>
      <c r="M105" s="113"/>
      <c r="N105" s="113"/>
    </row>
    <row r="106" spans="2:14" x14ac:dyDescent="0.25">
      <c r="B106" s="113" t="s">
        <v>198</v>
      </c>
      <c r="F106" s="113" t="s">
        <v>198</v>
      </c>
      <c r="G106" s="113"/>
      <c r="H106" s="113"/>
      <c r="I106" s="113"/>
      <c r="J106" s="113"/>
      <c r="K106" s="113"/>
      <c r="L106" s="113"/>
      <c r="M106" s="113"/>
      <c r="N106" s="113"/>
    </row>
    <row r="107" spans="2:14" x14ac:dyDescent="0.25">
      <c r="B107" s="113" t="s">
        <v>199</v>
      </c>
      <c r="F107" s="113" t="s">
        <v>200</v>
      </c>
      <c r="G107" s="113"/>
      <c r="H107" s="113"/>
      <c r="I107" s="113"/>
      <c r="J107" s="113"/>
      <c r="K107" s="113"/>
      <c r="L107" s="113"/>
      <c r="M107" s="113"/>
      <c r="N107" s="113"/>
    </row>
    <row r="108" spans="2:14" x14ac:dyDescent="0.25">
      <c r="B108" s="113" t="s">
        <v>201</v>
      </c>
      <c r="F108" s="113" t="s">
        <v>202</v>
      </c>
      <c r="G108" s="113"/>
      <c r="H108" s="113"/>
      <c r="I108" s="113"/>
      <c r="J108" s="113"/>
      <c r="K108" s="113"/>
      <c r="L108" s="113"/>
      <c r="M108" s="113"/>
      <c r="N108" s="113"/>
    </row>
    <row r="109" spans="2:14" x14ac:dyDescent="0.25">
      <c r="B109" s="113" t="s">
        <v>203</v>
      </c>
      <c r="F109" s="113" t="s">
        <v>204</v>
      </c>
      <c r="G109" s="113"/>
      <c r="H109" s="113"/>
      <c r="I109" s="113"/>
      <c r="J109" s="113"/>
      <c r="K109" s="113"/>
      <c r="L109" s="113"/>
      <c r="M109" s="113"/>
      <c r="N109" s="113"/>
    </row>
    <row r="110" spans="2:14" x14ac:dyDescent="0.25">
      <c r="B110" s="113" t="s">
        <v>205</v>
      </c>
      <c r="F110" s="113" t="s">
        <v>206</v>
      </c>
      <c r="G110" s="113"/>
      <c r="H110" s="113"/>
      <c r="I110" s="113"/>
      <c r="J110" s="113"/>
      <c r="K110" s="113"/>
      <c r="L110" s="113"/>
      <c r="M110" s="113"/>
      <c r="N110" s="113"/>
    </row>
    <row r="111" spans="2:14" x14ac:dyDescent="0.25">
      <c r="B111" s="113" t="s">
        <v>207</v>
      </c>
      <c r="F111" s="113" t="s">
        <v>208</v>
      </c>
      <c r="G111" s="113"/>
      <c r="H111" s="113"/>
      <c r="I111" s="113"/>
      <c r="J111" s="113"/>
      <c r="K111" s="113"/>
      <c r="L111" s="113"/>
      <c r="M111" s="113"/>
      <c r="N111" s="113"/>
    </row>
    <row r="112" spans="2:14" x14ac:dyDescent="0.25">
      <c r="B112" s="113" t="s">
        <v>209</v>
      </c>
      <c r="F112" s="113" t="s">
        <v>209</v>
      </c>
      <c r="G112" s="113"/>
      <c r="H112" s="113"/>
      <c r="I112" s="113"/>
      <c r="J112" s="113"/>
      <c r="K112" s="113"/>
      <c r="L112" s="113"/>
      <c r="M112" s="113"/>
      <c r="N112" s="113"/>
    </row>
    <row r="113" spans="2:14" x14ac:dyDescent="0.25">
      <c r="B113" s="113" t="s">
        <v>210</v>
      </c>
      <c r="F113" s="113" t="s">
        <v>210</v>
      </c>
      <c r="G113" s="113"/>
      <c r="H113" s="113"/>
      <c r="I113" s="113"/>
      <c r="J113" s="113"/>
      <c r="K113" s="113"/>
      <c r="L113" s="113"/>
      <c r="M113" s="113"/>
      <c r="N113" s="113"/>
    </row>
    <row r="114" spans="2:14" x14ac:dyDescent="0.25">
      <c r="B114" s="113" t="s">
        <v>211</v>
      </c>
      <c r="F114" s="113" t="s">
        <v>211</v>
      </c>
      <c r="G114" s="113"/>
      <c r="H114" s="113"/>
      <c r="I114" s="113"/>
      <c r="J114" s="113"/>
      <c r="K114" s="113"/>
      <c r="L114" s="113"/>
      <c r="M114" s="113"/>
      <c r="N114" s="113"/>
    </row>
    <row r="115" spans="2:14" x14ac:dyDescent="0.25">
      <c r="B115" s="113" t="s">
        <v>212</v>
      </c>
      <c r="F115" s="113" t="s">
        <v>213</v>
      </c>
      <c r="G115" s="113"/>
      <c r="H115" s="113"/>
      <c r="I115" s="113"/>
      <c r="J115" s="113"/>
      <c r="K115" s="113"/>
      <c r="L115" s="113"/>
      <c r="M115" s="113"/>
      <c r="N115" s="113"/>
    </row>
    <row r="116" spans="2:14" x14ac:dyDescent="0.25">
      <c r="B116" s="113" t="s">
        <v>214</v>
      </c>
      <c r="F116" s="113" t="s">
        <v>215</v>
      </c>
      <c r="G116" s="113"/>
      <c r="H116" s="113"/>
      <c r="I116" s="113"/>
      <c r="J116" s="113"/>
      <c r="K116" s="113"/>
      <c r="L116" s="113"/>
      <c r="M116" s="113"/>
      <c r="N116" s="113"/>
    </row>
    <row r="117" spans="2:14" x14ac:dyDescent="0.25">
      <c r="B117" s="113" t="s">
        <v>216</v>
      </c>
      <c r="F117" s="113" t="s">
        <v>216</v>
      </c>
      <c r="G117" s="113"/>
      <c r="H117" s="113"/>
      <c r="I117" s="113"/>
      <c r="J117" s="113"/>
      <c r="K117" s="113"/>
      <c r="L117" s="113"/>
      <c r="M117" s="113"/>
      <c r="N117" s="113"/>
    </row>
    <row r="118" spans="2:14" x14ac:dyDescent="0.25">
      <c r="B118" s="113" t="s">
        <v>217</v>
      </c>
      <c r="F118" s="113" t="s">
        <v>218</v>
      </c>
      <c r="G118" s="113"/>
      <c r="H118" s="113"/>
      <c r="I118" s="113"/>
      <c r="J118" s="113"/>
      <c r="K118" s="113"/>
      <c r="L118" s="113"/>
      <c r="M118" s="113"/>
      <c r="N118" s="113"/>
    </row>
    <row r="119" spans="2:14" x14ac:dyDescent="0.25">
      <c r="B119" s="113" t="s">
        <v>219</v>
      </c>
      <c r="F119" s="113" t="s">
        <v>220</v>
      </c>
      <c r="G119" s="113"/>
      <c r="H119" s="113"/>
      <c r="I119" s="113"/>
      <c r="J119" s="113"/>
      <c r="K119" s="113"/>
      <c r="L119" s="113"/>
      <c r="M119" s="113"/>
      <c r="N119" s="113"/>
    </row>
    <row r="120" spans="2:14" x14ac:dyDescent="0.25">
      <c r="B120" s="113" t="s">
        <v>221</v>
      </c>
      <c r="F120" s="113" t="s">
        <v>222</v>
      </c>
      <c r="G120" s="113"/>
      <c r="H120" s="113"/>
      <c r="I120" s="113"/>
      <c r="J120" s="113"/>
      <c r="K120" s="113"/>
      <c r="L120" s="113"/>
      <c r="M120" s="113"/>
      <c r="N120" s="113"/>
    </row>
    <row r="121" spans="2:14" x14ac:dyDescent="0.25">
      <c r="B121" s="113" t="s">
        <v>223</v>
      </c>
      <c r="F121" s="113" t="s">
        <v>224</v>
      </c>
      <c r="G121" s="113"/>
      <c r="H121" s="113"/>
      <c r="I121" s="113"/>
      <c r="J121" s="113"/>
      <c r="K121" s="113"/>
      <c r="L121" s="113"/>
      <c r="M121" s="113"/>
      <c r="N121" s="113"/>
    </row>
    <row r="122" spans="2:14" x14ac:dyDescent="0.25">
      <c r="G122" s="113"/>
      <c r="H122" s="113"/>
      <c r="I122" s="113"/>
      <c r="J122" s="113"/>
      <c r="K122" s="113"/>
      <c r="L122" s="113"/>
      <c r="M122" s="113"/>
      <c r="N122" s="113"/>
    </row>
  </sheetData>
  <sheetProtection algorithmName="SHA-512" hashValue="aI7d4oxSG6TLAhp+YR+Kqjp1EhaSLvwHRpI0H87txX8O40gG1qWtWj0Ck9gtypbBwQmxqeHJ5ZIDIkXo/PLHVA==" saltValue="ky2aGz+OHEXF4z3Zp6Niyw==" spinCount="100000" sheet="1" objects="1" scenarios="1"/>
  <mergeCells count="31">
    <mergeCell ref="K47:Q47"/>
    <mergeCell ref="G34:J34"/>
    <mergeCell ref="G35:J35"/>
    <mergeCell ref="G36:J36"/>
    <mergeCell ref="G37:J37"/>
    <mergeCell ref="G38:J38"/>
    <mergeCell ref="B5:C5"/>
    <mergeCell ref="F5:M5"/>
    <mergeCell ref="K32:K33"/>
    <mergeCell ref="L32:L33"/>
    <mergeCell ref="M32:M33"/>
    <mergeCell ref="D28:E28"/>
    <mergeCell ref="G32:J32"/>
    <mergeCell ref="G33:J33"/>
    <mergeCell ref="J28:M28"/>
    <mergeCell ref="G49:J49"/>
    <mergeCell ref="G39:J39"/>
    <mergeCell ref="G40:J40"/>
    <mergeCell ref="G41:J41"/>
    <mergeCell ref="R32:R33"/>
    <mergeCell ref="Q32:Q33"/>
    <mergeCell ref="G47:J47"/>
    <mergeCell ref="G48:J48"/>
    <mergeCell ref="N32:N33"/>
    <mergeCell ref="O32:O33"/>
    <mergeCell ref="P32:P33"/>
    <mergeCell ref="G42:J42"/>
    <mergeCell ref="G43:J43"/>
    <mergeCell ref="G44:J44"/>
    <mergeCell ref="G45:J45"/>
    <mergeCell ref="G46:J46"/>
  </mergeCells>
  <phoneticPr fontId="41" type="noConversion"/>
  <dataValidations count="4">
    <dataValidation type="list" allowBlank="1" showInputMessage="1" showErrorMessage="1" sqref="C13" xr:uid="{F8F4F47A-C18D-44F1-AE44-E878296EA767}">
      <formula1>Byggnadskategori</formula1>
    </dataValidation>
    <dataValidation type="list" allowBlank="1" showInputMessage="1" showErrorMessage="1" sqref="C14" xr:uid="{1841383A-C7C2-4A7E-95DD-88A6C7B3F747}">
      <formula1>Byggnadskomplexitet</formula1>
    </dataValidation>
    <dataValidation type="list" allowBlank="1" showInputMessage="1" showErrorMessage="1" sqref="C15" xr:uid="{6D0C6CC1-0B0F-4B30-A44D-B2E3C7D3EFCB}">
      <formula1>Byggnadstyp</formula1>
    </dataValidation>
    <dataValidation type="list" allowBlank="1" showInputMessage="1" showErrorMessage="1" sqref="D50" xr:uid="{15BEB716-5B24-4C6E-9497-8568E1B66C0D}">
      <formula1>BBRversion</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729" r:id="rId4" name="Kryssruta 20">
              <controlPr locked="0" defaultSize="0" autoFill="0" autoLine="0" autoPict="0">
                <anchor moveWithCells="1">
                  <from>
                    <xdr:col>6</xdr:col>
                    <xdr:colOff>85725</xdr:colOff>
                    <xdr:row>23</xdr:row>
                    <xdr:rowOff>200025</xdr:rowOff>
                  </from>
                  <to>
                    <xdr:col>6</xdr:col>
                    <xdr:colOff>552450</xdr:colOff>
                    <xdr:row>25</xdr:row>
                    <xdr:rowOff>9525</xdr:rowOff>
                  </to>
                </anchor>
              </controlPr>
            </control>
          </mc:Choice>
        </mc:AlternateContent>
        <mc:AlternateContent xmlns:mc="http://schemas.openxmlformats.org/markup-compatibility/2006">
          <mc:Choice Requires="x14">
            <control shapeId="71730" r:id="rId5" name="Check Box 50">
              <controlPr locked="0" defaultSize="0" autoFill="0" autoLine="0" autoPict="0">
                <anchor moveWithCells="1">
                  <from>
                    <xdr:col>6</xdr:col>
                    <xdr:colOff>85725</xdr:colOff>
                    <xdr:row>21</xdr:row>
                    <xdr:rowOff>171450</xdr:rowOff>
                  </from>
                  <to>
                    <xdr:col>6</xdr:col>
                    <xdr:colOff>409575</xdr:colOff>
                    <xdr:row>23</xdr:row>
                    <xdr:rowOff>57150</xdr:rowOff>
                  </to>
                </anchor>
              </controlPr>
            </control>
          </mc:Choice>
        </mc:AlternateContent>
        <mc:AlternateContent xmlns:mc="http://schemas.openxmlformats.org/markup-compatibility/2006">
          <mc:Choice Requires="x14">
            <control shapeId="71731" r:id="rId6" name="Check Box 51">
              <controlPr locked="0" defaultSize="0" autoFill="0" autoLine="0" autoPict="0">
                <anchor moveWithCells="1">
                  <from>
                    <xdr:col>6</xdr:col>
                    <xdr:colOff>104775</xdr:colOff>
                    <xdr:row>6</xdr:row>
                    <xdr:rowOff>200025</xdr:rowOff>
                  </from>
                  <to>
                    <xdr:col>7</xdr:col>
                    <xdr:colOff>228600</xdr:colOff>
                    <xdr:row>8</xdr:row>
                    <xdr:rowOff>9525</xdr:rowOff>
                  </to>
                </anchor>
              </controlPr>
            </control>
          </mc:Choice>
        </mc:AlternateContent>
        <mc:AlternateContent xmlns:mc="http://schemas.openxmlformats.org/markup-compatibility/2006">
          <mc:Choice Requires="x14">
            <control shapeId="71732" r:id="rId7" name="Check Box 52">
              <controlPr locked="0" defaultSize="0" autoFill="0" autoLine="0" autoPict="0">
                <anchor moveWithCells="1">
                  <from>
                    <xdr:col>6</xdr:col>
                    <xdr:colOff>57150</xdr:colOff>
                    <xdr:row>25</xdr:row>
                    <xdr:rowOff>190500</xdr:rowOff>
                  </from>
                  <to>
                    <xdr:col>8</xdr:col>
                    <xdr:colOff>409575</xdr:colOff>
                    <xdr:row>26</xdr:row>
                    <xdr:rowOff>209550</xdr:rowOff>
                  </to>
                </anchor>
              </controlPr>
            </control>
          </mc:Choice>
        </mc:AlternateContent>
        <mc:AlternateContent xmlns:mc="http://schemas.openxmlformats.org/markup-compatibility/2006">
          <mc:Choice Requires="x14">
            <control shapeId="71733" r:id="rId8" name="Check Box 53">
              <controlPr locked="0" defaultSize="0" autoFill="0" autoLine="0" autoPict="0">
                <anchor moveWithCells="1">
                  <from>
                    <xdr:col>6</xdr:col>
                    <xdr:colOff>66675</xdr:colOff>
                    <xdr:row>24</xdr:row>
                    <xdr:rowOff>180975</xdr:rowOff>
                  </from>
                  <to>
                    <xdr:col>7</xdr:col>
                    <xdr:colOff>647700</xdr:colOff>
                    <xdr:row>26</xdr:row>
                    <xdr:rowOff>28575</xdr:rowOff>
                  </to>
                </anchor>
              </controlPr>
            </control>
          </mc:Choice>
        </mc:AlternateContent>
        <mc:AlternateContent xmlns:mc="http://schemas.openxmlformats.org/markup-compatibility/2006">
          <mc:Choice Requires="x14">
            <control shapeId="71734" r:id="rId9" name="Check Box 54">
              <controlPr locked="0" defaultSize="0" autoFill="0" autoLine="0" autoPict="0">
                <anchor moveWithCells="1">
                  <from>
                    <xdr:col>6</xdr:col>
                    <xdr:colOff>104775</xdr:colOff>
                    <xdr:row>5</xdr:row>
                    <xdr:rowOff>0</xdr:rowOff>
                  </from>
                  <to>
                    <xdr:col>7</xdr:col>
                    <xdr:colOff>247650</xdr:colOff>
                    <xdr:row>6</xdr:row>
                    <xdr:rowOff>28575</xdr:rowOff>
                  </to>
                </anchor>
              </controlPr>
            </control>
          </mc:Choice>
        </mc:AlternateContent>
        <mc:AlternateContent xmlns:mc="http://schemas.openxmlformats.org/markup-compatibility/2006">
          <mc:Choice Requires="x14">
            <control shapeId="71735" r:id="rId10" name="Check Box 55">
              <controlPr locked="0" defaultSize="0" autoFill="0" autoLine="0" autoPict="0">
                <anchor moveWithCells="1">
                  <from>
                    <xdr:col>6</xdr:col>
                    <xdr:colOff>104775</xdr:colOff>
                    <xdr:row>6</xdr:row>
                    <xdr:rowOff>0</xdr:rowOff>
                  </from>
                  <to>
                    <xdr:col>7</xdr:col>
                    <xdr:colOff>180975</xdr:colOff>
                    <xdr:row>7</xdr:row>
                    <xdr:rowOff>0</xdr:rowOff>
                  </to>
                </anchor>
              </controlPr>
            </control>
          </mc:Choice>
        </mc:AlternateContent>
        <mc:AlternateContent xmlns:mc="http://schemas.openxmlformats.org/markup-compatibility/2006">
          <mc:Choice Requires="x14">
            <control shapeId="71736" r:id="rId11" name="Check Box 56">
              <controlPr locked="0" defaultSize="0" autoFill="0" autoLine="0" autoPict="0">
                <anchor moveWithCells="1">
                  <from>
                    <xdr:col>6</xdr:col>
                    <xdr:colOff>47625</xdr:colOff>
                    <xdr:row>26</xdr:row>
                    <xdr:rowOff>171450</xdr:rowOff>
                  </from>
                  <to>
                    <xdr:col>7</xdr:col>
                    <xdr:colOff>561975</xdr:colOff>
                    <xdr:row>27</xdr:row>
                    <xdr:rowOff>200025</xdr:rowOff>
                  </to>
                </anchor>
              </controlPr>
            </control>
          </mc:Choice>
        </mc:AlternateContent>
        <mc:AlternateContent xmlns:mc="http://schemas.openxmlformats.org/markup-compatibility/2006">
          <mc:Choice Requires="x14">
            <control shapeId="71737" r:id="rId12" name="Check Box 57">
              <controlPr locked="0" defaultSize="0" autoFill="0" autoLine="0" autoPict="0">
                <anchor moveWithCells="1">
                  <from>
                    <xdr:col>6</xdr:col>
                    <xdr:colOff>85725</xdr:colOff>
                    <xdr:row>17</xdr:row>
                    <xdr:rowOff>123825</xdr:rowOff>
                  </from>
                  <to>
                    <xdr:col>6</xdr:col>
                    <xdr:colOff>695325</xdr:colOff>
                    <xdr:row>19</xdr:row>
                    <xdr:rowOff>57150</xdr:rowOff>
                  </to>
                </anchor>
              </controlPr>
            </control>
          </mc:Choice>
        </mc:AlternateContent>
        <mc:AlternateContent xmlns:mc="http://schemas.openxmlformats.org/markup-compatibility/2006">
          <mc:Choice Requires="x14">
            <control shapeId="71738" r:id="rId13" name="Check Box 58">
              <controlPr locked="0" defaultSize="0" autoFill="0" autoLine="0" autoPict="0">
                <anchor moveWithCells="1">
                  <from>
                    <xdr:col>6</xdr:col>
                    <xdr:colOff>85725</xdr:colOff>
                    <xdr:row>18</xdr:row>
                    <xdr:rowOff>152400</xdr:rowOff>
                  </from>
                  <to>
                    <xdr:col>7</xdr:col>
                    <xdr:colOff>38100</xdr:colOff>
                    <xdr:row>19</xdr:row>
                    <xdr:rowOff>180975</xdr:rowOff>
                  </to>
                </anchor>
              </controlPr>
            </control>
          </mc:Choice>
        </mc:AlternateContent>
        <mc:AlternateContent xmlns:mc="http://schemas.openxmlformats.org/markup-compatibility/2006">
          <mc:Choice Requires="x14">
            <control shapeId="71739" r:id="rId14" name="Check Box 59">
              <controlPr locked="0" defaultSize="0" autoFill="0" autoLine="0" autoPict="0">
                <anchor moveWithCells="1">
                  <from>
                    <xdr:col>6</xdr:col>
                    <xdr:colOff>85725</xdr:colOff>
                    <xdr:row>19</xdr:row>
                    <xdr:rowOff>190500</xdr:rowOff>
                  </from>
                  <to>
                    <xdr:col>7</xdr:col>
                    <xdr:colOff>219075</xdr:colOff>
                    <xdr:row>20</xdr:row>
                    <xdr:rowOff>190500</xdr:rowOff>
                  </to>
                </anchor>
              </controlPr>
            </control>
          </mc:Choice>
        </mc:AlternateContent>
        <mc:AlternateContent xmlns:mc="http://schemas.openxmlformats.org/markup-compatibility/2006">
          <mc:Choice Requires="x14">
            <control shapeId="71740" r:id="rId15" name="Check Box 60">
              <controlPr locked="0" defaultSize="0" autoFill="0" autoLine="0" autoPict="0">
                <anchor moveWithCells="1">
                  <from>
                    <xdr:col>6</xdr:col>
                    <xdr:colOff>95250</xdr:colOff>
                    <xdr:row>10</xdr:row>
                    <xdr:rowOff>0</xdr:rowOff>
                  </from>
                  <to>
                    <xdr:col>8</xdr:col>
                    <xdr:colOff>28575</xdr:colOff>
                    <xdr:row>11</xdr:row>
                    <xdr:rowOff>28575</xdr:rowOff>
                  </to>
                </anchor>
              </controlPr>
            </control>
          </mc:Choice>
        </mc:AlternateContent>
        <mc:AlternateContent xmlns:mc="http://schemas.openxmlformats.org/markup-compatibility/2006">
          <mc:Choice Requires="x14">
            <control shapeId="71741" r:id="rId16" name="Check Box 61">
              <controlPr locked="0" defaultSize="0" autoFill="0" autoLine="0" autoPict="0">
                <anchor moveWithCells="1">
                  <from>
                    <xdr:col>6</xdr:col>
                    <xdr:colOff>95250</xdr:colOff>
                    <xdr:row>11</xdr:row>
                    <xdr:rowOff>190500</xdr:rowOff>
                  </from>
                  <to>
                    <xdr:col>8</xdr:col>
                    <xdr:colOff>409575</xdr:colOff>
                    <xdr:row>13</xdr:row>
                    <xdr:rowOff>9525</xdr:rowOff>
                  </to>
                </anchor>
              </controlPr>
            </control>
          </mc:Choice>
        </mc:AlternateContent>
        <mc:AlternateContent xmlns:mc="http://schemas.openxmlformats.org/markup-compatibility/2006">
          <mc:Choice Requires="x14">
            <control shapeId="71742" r:id="rId17" name="Check Box 62">
              <controlPr locked="0" defaultSize="0" autoFill="0" autoLine="0" autoPict="0">
                <anchor moveWithCells="1">
                  <from>
                    <xdr:col>6</xdr:col>
                    <xdr:colOff>95250</xdr:colOff>
                    <xdr:row>10</xdr:row>
                    <xdr:rowOff>171450</xdr:rowOff>
                  </from>
                  <to>
                    <xdr:col>8</xdr:col>
                    <xdr:colOff>609600</xdr:colOff>
                    <xdr:row>12</xdr:row>
                    <xdr:rowOff>9525</xdr:rowOff>
                  </to>
                </anchor>
              </controlPr>
            </control>
          </mc:Choice>
        </mc:AlternateContent>
        <mc:AlternateContent xmlns:mc="http://schemas.openxmlformats.org/markup-compatibility/2006">
          <mc:Choice Requires="x14">
            <control shapeId="71743" r:id="rId18" name="Check Box 63">
              <controlPr locked="0" defaultSize="0" autoFill="0" autoLine="0" autoPict="0">
                <anchor moveWithCells="1">
                  <from>
                    <xdr:col>6</xdr:col>
                    <xdr:colOff>95250</xdr:colOff>
                    <xdr:row>13</xdr:row>
                    <xdr:rowOff>0</xdr:rowOff>
                  </from>
                  <to>
                    <xdr:col>7</xdr:col>
                    <xdr:colOff>228600</xdr:colOff>
                    <xdr:row>14</xdr:row>
                    <xdr:rowOff>28575</xdr:rowOff>
                  </to>
                </anchor>
              </controlPr>
            </control>
          </mc:Choice>
        </mc:AlternateContent>
        <mc:AlternateContent xmlns:mc="http://schemas.openxmlformats.org/markup-compatibility/2006">
          <mc:Choice Requires="x14">
            <control shapeId="71744" r:id="rId19" name="Check Box 64">
              <controlPr locked="0" defaultSize="0" autoFill="0" autoLine="0" autoPict="0">
                <anchor moveWithCells="1">
                  <from>
                    <xdr:col>6</xdr:col>
                    <xdr:colOff>95250</xdr:colOff>
                    <xdr:row>13</xdr:row>
                    <xdr:rowOff>161925</xdr:rowOff>
                  </from>
                  <to>
                    <xdr:col>7</xdr:col>
                    <xdr:colOff>219075</xdr:colOff>
                    <xdr:row>15</xdr:row>
                    <xdr:rowOff>28575</xdr:rowOff>
                  </to>
                </anchor>
              </controlPr>
            </control>
          </mc:Choice>
        </mc:AlternateContent>
        <mc:AlternateContent xmlns:mc="http://schemas.openxmlformats.org/markup-compatibility/2006">
          <mc:Choice Requires="x14">
            <control shapeId="71745" r:id="rId20" name="Check Box 65">
              <controlPr locked="0" defaultSize="0" autoFill="0" autoLine="0" autoPict="0">
                <anchor moveWithCells="1">
                  <from>
                    <xdr:col>6</xdr:col>
                    <xdr:colOff>95250</xdr:colOff>
                    <xdr:row>14</xdr:row>
                    <xdr:rowOff>161925</xdr:rowOff>
                  </from>
                  <to>
                    <xdr:col>7</xdr:col>
                    <xdr:colOff>247650</xdr:colOff>
                    <xdr:row>16</xdr:row>
                    <xdr:rowOff>28575</xdr:rowOff>
                  </to>
                </anchor>
              </controlPr>
            </control>
          </mc:Choice>
        </mc:AlternateContent>
        <mc:AlternateContent xmlns:mc="http://schemas.openxmlformats.org/markup-compatibility/2006">
          <mc:Choice Requires="x14">
            <control shapeId="71746" r:id="rId21" name="Check Box 66">
              <controlPr locked="0" defaultSize="0" autoFill="0" autoLine="0" autoPict="0">
                <anchor moveWithCells="1">
                  <from>
                    <xdr:col>6</xdr:col>
                    <xdr:colOff>85725</xdr:colOff>
                    <xdr:row>15</xdr:row>
                    <xdr:rowOff>180975</xdr:rowOff>
                  </from>
                  <to>
                    <xdr:col>8</xdr:col>
                    <xdr:colOff>266700</xdr:colOff>
                    <xdr:row>17</xdr:row>
                    <xdr:rowOff>0</xdr:rowOff>
                  </to>
                </anchor>
              </controlPr>
            </control>
          </mc:Choice>
        </mc:AlternateContent>
        <mc:AlternateContent xmlns:mc="http://schemas.openxmlformats.org/markup-compatibility/2006">
          <mc:Choice Requires="x14">
            <control shapeId="71747" r:id="rId22" name="Check Box 67">
              <controlPr locked="0" defaultSize="0" autoFill="0" autoLine="0" autoPict="0">
                <anchor moveWithCells="1">
                  <from>
                    <xdr:col>6</xdr:col>
                    <xdr:colOff>104775</xdr:colOff>
                    <xdr:row>7</xdr:row>
                    <xdr:rowOff>180975</xdr:rowOff>
                  </from>
                  <to>
                    <xdr:col>8</xdr:col>
                    <xdr:colOff>57150</xdr:colOff>
                    <xdr:row>9</xdr:row>
                    <xdr:rowOff>28575</xdr:rowOff>
                  </to>
                </anchor>
              </controlPr>
            </control>
          </mc:Choice>
        </mc:AlternateContent>
        <mc:AlternateContent xmlns:mc="http://schemas.openxmlformats.org/markup-compatibility/2006">
          <mc:Choice Requires="x14">
            <control shapeId="71760" r:id="rId23" name="Check Box 80">
              <controlPr locked="0" defaultSize="0" autoFill="0" autoLine="0" autoPict="0">
                <anchor moveWithCells="1">
                  <from>
                    <xdr:col>6</xdr:col>
                    <xdr:colOff>76200</xdr:colOff>
                    <xdr:row>16</xdr:row>
                    <xdr:rowOff>190500</xdr:rowOff>
                  </from>
                  <to>
                    <xdr:col>8</xdr:col>
                    <xdr:colOff>323850</xdr:colOff>
                    <xdr:row>17</xdr:row>
                    <xdr:rowOff>180975</xdr:rowOff>
                  </to>
                </anchor>
              </controlPr>
            </control>
          </mc:Choice>
        </mc:AlternateContent>
        <mc:AlternateContent xmlns:mc="http://schemas.openxmlformats.org/markup-compatibility/2006">
          <mc:Choice Requires="x14">
            <control shapeId="71766" r:id="rId24" name="Check Box 86">
              <controlPr locked="0" defaultSize="0" autoFill="0" autoLine="0" autoPict="0">
                <anchor moveWithCells="1">
                  <from>
                    <xdr:col>6</xdr:col>
                    <xdr:colOff>85725</xdr:colOff>
                    <xdr:row>22</xdr:row>
                    <xdr:rowOff>171450</xdr:rowOff>
                  </from>
                  <to>
                    <xdr:col>6</xdr:col>
                    <xdr:colOff>409575</xdr:colOff>
                    <xdr:row>24</xdr:row>
                    <xdr:rowOff>38100</xdr:rowOff>
                  </to>
                </anchor>
              </controlPr>
            </control>
          </mc:Choice>
        </mc:AlternateContent>
        <mc:AlternateContent xmlns:mc="http://schemas.openxmlformats.org/markup-compatibility/2006">
          <mc:Choice Requires="x14">
            <control shapeId="71813" r:id="rId25" name="Check Box 133">
              <controlPr locked="0" defaultSize="0" autoFill="0" autoLine="0" autoPict="0">
                <anchor moveWithCells="1">
                  <from>
                    <xdr:col>6</xdr:col>
                    <xdr:colOff>95250</xdr:colOff>
                    <xdr:row>8</xdr:row>
                    <xdr:rowOff>190500</xdr:rowOff>
                  </from>
                  <to>
                    <xdr:col>9</xdr:col>
                    <xdr:colOff>171450</xdr:colOff>
                    <xdr:row>9</xdr:row>
                    <xdr:rowOff>190500</xdr:rowOff>
                  </to>
                </anchor>
              </controlPr>
            </control>
          </mc:Choice>
        </mc:AlternateContent>
        <mc:AlternateContent xmlns:mc="http://schemas.openxmlformats.org/markup-compatibility/2006">
          <mc:Choice Requires="x14">
            <control shapeId="71814" r:id="rId26" name="Check Box 134">
              <controlPr locked="0" defaultSize="0" autoFill="0" autoLine="0" autoPict="0">
                <anchor moveWithCells="1">
                  <from>
                    <xdr:col>6</xdr:col>
                    <xdr:colOff>85725</xdr:colOff>
                    <xdr:row>20</xdr:row>
                    <xdr:rowOff>200025</xdr:rowOff>
                  </from>
                  <to>
                    <xdr:col>7</xdr:col>
                    <xdr:colOff>219075</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F6D04DB-6400-4632-90BF-57CF6E8EF24F}">
          <x14:formula1>
            <xm:f>Fgeo!$G$3:$G$7</xm:f>
          </x14:formula1>
          <xm:sqref>J16 J8</xm:sqref>
        </x14:dataValidation>
        <x14:dataValidation type="list" allowBlank="1" showInputMessage="1" showErrorMessage="1" xr:uid="{AF7F0E33-7BBF-4240-A6EC-958275F1636A}">
          <x14:formula1>
            <xm:f>Fgeo!$E$3:$E$6</xm:f>
          </x14:formula1>
          <xm:sqref>M7 J7 M15 J15</xm:sqref>
        </x14:dataValidation>
        <x14:dataValidation type="list" allowBlank="1" showInputMessage="1" showErrorMessage="1" xr:uid="{0DB64429-FE1D-4F01-9577-28F40F604B8E}">
          <x14:formula1>
            <xm:f>Fgeo!$A$3:$A300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7165-6BD6-4E2C-A25A-78B0B7951FBB}">
  <sheetPr codeName="Blad2"/>
  <dimension ref="B1:L90"/>
  <sheetViews>
    <sheetView zoomScale="90" zoomScaleNormal="90" workbookViewId="0">
      <pane ySplit="3" topLeftCell="A7" activePane="bottomLeft" state="frozen"/>
      <selection pane="bottomLeft" activeCell="G13" sqref="G13"/>
    </sheetView>
  </sheetViews>
  <sheetFormatPr defaultColWidth="8.7109375" defaultRowHeight="15" x14ac:dyDescent="0.25"/>
  <cols>
    <col min="1" max="1" width="1.28515625" style="16" customWidth="1"/>
    <col min="2" max="2" width="19.7109375" style="16" customWidth="1"/>
    <col min="3" max="3" width="58" style="16" customWidth="1"/>
    <col min="4" max="6" width="20" style="16" customWidth="1"/>
    <col min="7" max="7" width="37.5703125" style="16" customWidth="1"/>
    <col min="8" max="8" width="8.7109375" style="16"/>
    <col min="9" max="9" width="13.42578125" style="16" customWidth="1"/>
    <col min="10" max="16384" width="8.7109375" style="16"/>
  </cols>
  <sheetData>
    <row r="1" spans="2:12" ht="56.25" customHeight="1" thickBot="1" x14ac:dyDescent="0.3">
      <c r="C1" s="102" t="s">
        <v>225</v>
      </c>
      <c r="E1" s="111"/>
    </row>
    <row r="2" spans="2:12" ht="24.75" customHeight="1" thickBot="1" x14ac:dyDescent="0.3">
      <c r="B2" s="1123" t="s">
        <v>226</v>
      </c>
      <c r="C2" s="1124"/>
      <c r="D2" s="1124"/>
      <c r="E2" s="1124"/>
      <c r="F2" s="1193"/>
      <c r="G2" s="229" t="s">
        <v>2</v>
      </c>
    </row>
    <row r="3" spans="2:12" ht="53.25" customHeight="1" thickBot="1" x14ac:dyDescent="0.3">
      <c r="B3" s="1150" t="s">
        <v>227</v>
      </c>
      <c r="C3" s="1194"/>
      <c r="D3" s="230" t="s">
        <v>228</v>
      </c>
      <c r="E3" s="230" t="s">
        <v>229</v>
      </c>
      <c r="F3" s="230" t="s">
        <v>230</v>
      </c>
      <c r="G3" s="231"/>
      <c r="H3" s="232"/>
    </row>
    <row r="4" spans="2:12" ht="15.75" customHeight="1" thickBot="1" x14ac:dyDescent="0.3">
      <c r="B4" s="233"/>
      <c r="C4" s="234"/>
      <c r="D4" s="235" t="s">
        <v>231</v>
      </c>
      <c r="E4" s="235" t="s">
        <v>231</v>
      </c>
      <c r="F4" s="235" t="s">
        <v>231</v>
      </c>
      <c r="G4" s="236"/>
      <c r="H4" s="232"/>
    </row>
    <row r="5" spans="2:12" ht="15.75" customHeight="1" x14ac:dyDescent="0.25">
      <c r="B5" s="1195" t="s">
        <v>232</v>
      </c>
      <c r="C5" s="1196"/>
      <c r="D5" s="256"/>
      <c r="E5" s="257"/>
      <c r="F5" s="257"/>
      <c r="G5" s="842"/>
    </row>
    <row r="6" spans="2:12" ht="15.75" customHeight="1" x14ac:dyDescent="0.25">
      <c r="B6" s="1191" t="s">
        <v>233</v>
      </c>
      <c r="C6" s="1192"/>
      <c r="D6" s="258"/>
      <c r="E6" s="259"/>
      <c r="F6" s="259"/>
      <c r="G6" s="843"/>
    </row>
    <row r="7" spans="2:12" ht="15.75" customHeight="1" x14ac:dyDescent="0.25">
      <c r="B7" s="1191" t="s">
        <v>234</v>
      </c>
      <c r="C7" s="1192"/>
      <c r="D7" s="258"/>
      <c r="E7" s="259"/>
      <c r="F7" s="259"/>
      <c r="G7" s="843"/>
      <c r="H7" s="150"/>
    </row>
    <row r="8" spans="2:12" ht="15" customHeight="1" x14ac:dyDescent="0.25">
      <c r="B8" s="1191" t="s">
        <v>235</v>
      </c>
      <c r="C8" s="1192"/>
      <c r="D8" s="258"/>
      <c r="E8" s="259"/>
      <c r="F8" s="259"/>
      <c r="G8" s="843"/>
      <c r="H8" s="150"/>
    </row>
    <row r="9" spans="2:12" ht="15" customHeight="1" x14ac:dyDescent="0.25">
      <c r="B9" s="1191" t="s">
        <v>236</v>
      </c>
      <c r="C9" s="1192"/>
      <c r="D9" s="258"/>
      <c r="E9" s="259"/>
      <c r="F9" s="259"/>
      <c r="G9" s="843"/>
      <c r="H9" s="150"/>
    </row>
    <row r="10" spans="2:12" x14ac:dyDescent="0.25">
      <c r="B10" s="1189" t="s">
        <v>237</v>
      </c>
      <c r="C10" s="1190"/>
      <c r="D10" s="258"/>
      <c r="E10" s="259"/>
      <c r="F10" s="259"/>
      <c r="G10" s="843"/>
      <c r="H10" s="150"/>
      <c r="I10" s="150"/>
      <c r="J10" s="150"/>
      <c r="K10" s="150"/>
      <c r="L10" s="150"/>
    </row>
    <row r="11" spans="2:12" ht="15" customHeight="1" x14ac:dyDescent="0.25">
      <c r="B11" s="1189" t="s">
        <v>238</v>
      </c>
      <c r="C11" s="1190"/>
      <c r="D11" s="258"/>
      <c r="E11" s="259"/>
      <c r="F11" s="259"/>
      <c r="G11" s="843"/>
      <c r="H11" s="150"/>
    </row>
    <row r="12" spans="2:12" x14ac:dyDescent="0.25">
      <c r="B12" s="1189" t="s">
        <v>239</v>
      </c>
      <c r="C12" s="1190"/>
      <c r="D12" s="258"/>
      <c r="E12" s="259"/>
      <c r="F12" s="259"/>
      <c r="G12" s="843"/>
      <c r="H12" s="150"/>
    </row>
    <row r="13" spans="2:12" ht="15.75" customHeight="1" x14ac:dyDescent="0.25">
      <c r="B13" s="1191" t="s">
        <v>240</v>
      </c>
      <c r="C13" s="1192"/>
      <c r="D13" s="258"/>
      <c r="E13" s="259"/>
      <c r="F13" s="259"/>
      <c r="G13" s="843"/>
      <c r="H13" s="150"/>
    </row>
    <row r="14" spans="2:12" x14ac:dyDescent="0.25">
      <c r="B14" s="1189" t="s">
        <v>241</v>
      </c>
      <c r="C14" s="1190"/>
      <c r="D14" s="258"/>
      <c r="E14" s="259"/>
      <c r="F14" s="259"/>
      <c r="G14" s="843"/>
      <c r="H14" s="237"/>
    </row>
    <row r="15" spans="2:12" ht="15.75" customHeight="1" x14ac:dyDescent="0.25">
      <c r="B15" s="1191" t="s">
        <v>242</v>
      </c>
      <c r="C15" s="1192"/>
      <c r="D15" s="258"/>
      <c r="E15" s="259"/>
      <c r="F15" s="259"/>
      <c r="G15" s="843"/>
      <c r="H15" s="237"/>
    </row>
    <row r="16" spans="2:12" ht="15.75" customHeight="1" x14ac:dyDescent="0.25">
      <c r="B16" s="1189" t="s">
        <v>243</v>
      </c>
      <c r="C16" s="1190"/>
      <c r="D16" s="258"/>
      <c r="E16" s="259"/>
      <c r="F16" s="259"/>
      <c r="G16" s="843"/>
      <c r="H16" s="237"/>
    </row>
    <row r="17" spans="2:8" ht="15.75" customHeight="1" x14ac:dyDescent="0.25">
      <c r="B17" s="1191" t="s">
        <v>244</v>
      </c>
      <c r="C17" s="1192"/>
      <c r="D17" s="258"/>
      <c r="E17" s="259"/>
      <c r="F17" s="259"/>
      <c r="G17" s="843"/>
      <c r="H17" s="237"/>
    </row>
    <row r="18" spans="2:8" ht="15.75" customHeight="1" x14ac:dyDescent="0.25">
      <c r="B18" s="1189" t="s">
        <v>245</v>
      </c>
      <c r="C18" s="1190"/>
      <c r="D18" s="258" t="s">
        <v>17</v>
      </c>
      <c r="E18" s="259" t="s">
        <v>17</v>
      </c>
      <c r="F18" s="259"/>
      <c r="G18" s="843"/>
      <c r="H18" s="237"/>
    </row>
    <row r="19" spans="2:8" ht="18.75" customHeight="1" thickBot="1" x14ac:dyDescent="0.3">
      <c r="B19" s="1199" t="s">
        <v>968</v>
      </c>
      <c r="C19" s="1200"/>
      <c r="D19" s="260"/>
      <c r="E19" s="261"/>
      <c r="F19" s="261"/>
      <c r="G19" s="844"/>
      <c r="H19" s="140"/>
    </row>
    <row r="20" spans="2:8" ht="23.25" customHeight="1" thickBot="1" x14ac:dyDescent="0.3">
      <c r="B20" s="1150" t="s">
        <v>246</v>
      </c>
      <c r="C20" s="1194"/>
      <c r="D20" s="262"/>
      <c r="E20" s="263"/>
      <c r="F20" s="263"/>
      <c r="G20" s="845"/>
    </row>
    <row r="21" spans="2:8" ht="15.75" customHeight="1" x14ac:dyDescent="0.25">
      <c r="B21" s="1201" t="s">
        <v>247</v>
      </c>
      <c r="C21" s="1202"/>
      <c r="D21" s="264" t="s">
        <v>17</v>
      </c>
      <c r="E21" s="265" t="s">
        <v>17</v>
      </c>
      <c r="F21" s="266"/>
      <c r="G21" s="846"/>
      <c r="H21" s="150"/>
    </row>
    <row r="22" spans="2:8" ht="15.75" customHeight="1" thickBot="1" x14ac:dyDescent="0.3">
      <c r="B22" s="1203" t="s">
        <v>248</v>
      </c>
      <c r="C22" s="1204"/>
      <c r="D22" s="267" t="s">
        <v>17</v>
      </c>
      <c r="E22" s="268" t="s">
        <v>17</v>
      </c>
      <c r="F22" s="269"/>
      <c r="G22" s="844"/>
    </row>
    <row r="23" spans="2:8" ht="15.75" customHeight="1" thickBot="1" x14ac:dyDescent="0.3">
      <c r="B23" s="1197" t="s">
        <v>249</v>
      </c>
      <c r="C23" s="1198"/>
      <c r="D23" s="270"/>
      <c r="E23" s="271"/>
      <c r="F23" s="272"/>
      <c r="G23" s="847"/>
    </row>
    <row r="25" spans="2:8" ht="24.75" customHeight="1" thickBot="1" x14ac:dyDescent="0.35">
      <c r="B25" s="153" t="s">
        <v>250</v>
      </c>
    </row>
    <row r="26" spans="2:8" ht="52.5" customHeight="1" x14ac:dyDescent="0.25">
      <c r="C26" s="238"/>
      <c r="D26" s="239" t="s">
        <v>251</v>
      </c>
      <c r="E26" s="239" t="str">
        <f>E3</f>
        <v xml:space="preserve">Uppdaterat inför byggstart (frivilligt) </v>
      </c>
      <c r="F26" s="239" t="str">
        <f>F3</f>
        <v>Uppdaterat inför slutbesked (alternativt relationshandling)</v>
      </c>
    </row>
    <row r="27" spans="2:8" ht="15.75" thickBot="1" x14ac:dyDescent="0.3">
      <c r="C27" s="240"/>
      <c r="D27" s="241" t="s">
        <v>252</v>
      </c>
      <c r="E27" s="241" t="s">
        <v>252</v>
      </c>
      <c r="F27" s="241" t="s">
        <v>252</v>
      </c>
    </row>
    <row r="28" spans="2:8" x14ac:dyDescent="0.25">
      <c r="C28" s="242" t="s">
        <v>253</v>
      </c>
      <c r="D28" s="273"/>
      <c r="E28" s="273"/>
      <c r="F28" s="273"/>
    </row>
    <row r="29" spans="2:8" x14ac:dyDescent="0.25">
      <c r="C29" s="243" t="s">
        <v>254</v>
      </c>
      <c r="D29" s="274"/>
      <c r="E29" s="274"/>
      <c r="F29" s="274"/>
    </row>
    <row r="30" spans="2:8" x14ac:dyDescent="0.25">
      <c r="C30" s="243" t="s">
        <v>255</v>
      </c>
      <c r="D30" s="274"/>
      <c r="E30" s="274"/>
      <c r="F30" s="274"/>
    </row>
    <row r="31" spans="2:8" ht="15.75" thickBot="1" x14ac:dyDescent="0.3">
      <c r="C31" s="244" t="s">
        <v>256</v>
      </c>
      <c r="D31" s="275"/>
      <c r="E31" s="275"/>
      <c r="F31" s="275"/>
    </row>
    <row r="32" spans="2:8" x14ac:dyDescent="0.25">
      <c r="C32" s="245" t="s">
        <v>257</v>
      </c>
      <c r="D32" s="276"/>
      <c r="E32" s="276"/>
      <c r="F32" s="276"/>
    </row>
    <row r="33" spans="3:6" x14ac:dyDescent="0.25">
      <c r="C33" s="246" t="s">
        <v>258</v>
      </c>
      <c r="D33" s="274"/>
      <c r="E33" s="274"/>
      <c r="F33" s="274"/>
    </row>
    <row r="34" spans="3:6" x14ac:dyDescent="0.25">
      <c r="C34" s="246" t="s">
        <v>259</v>
      </c>
      <c r="D34" s="274"/>
      <c r="E34" s="274"/>
      <c r="F34" s="274"/>
    </row>
    <row r="35" spans="3:6" ht="15.75" thickBot="1" x14ac:dyDescent="0.3">
      <c r="C35" s="247" t="s">
        <v>260</v>
      </c>
      <c r="D35" s="275"/>
      <c r="E35" s="275"/>
      <c r="F35" s="275"/>
    </row>
    <row r="36" spans="3:6" x14ac:dyDescent="0.25">
      <c r="C36" s="248" t="s">
        <v>261</v>
      </c>
      <c r="D36" s="276"/>
      <c r="E36" s="276"/>
      <c r="F36" s="276"/>
    </row>
    <row r="37" spans="3:6" x14ac:dyDescent="0.25">
      <c r="C37" s="249" t="s">
        <v>262</v>
      </c>
      <c r="D37" s="274"/>
      <c r="E37" s="274"/>
      <c r="F37" s="274"/>
    </row>
    <row r="38" spans="3:6" x14ac:dyDescent="0.25">
      <c r="C38" s="249" t="s">
        <v>263</v>
      </c>
      <c r="D38" s="274"/>
      <c r="E38" s="274"/>
      <c r="F38" s="274"/>
    </row>
    <row r="39" spans="3:6" ht="15.75" thickBot="1" x14ac:dyDescent="0.3">
      <c r="C39" s="250" t="s">
        <v>264</v>
      </c>
      <c r="D39" s="275"/>
      <c r="E39" s="275"/>
      <c r="F39" s="275"/>
    </row>
    <row r="40" spans="3:6" x14ac:dyDescent="0.25">
      <c r="C40" s="251" t="s">
        <v>239</v>
      </c>
      <c r="D40" s="277"/>
      <c r="E40" s="277"/>
      <c r="F40" s="277"/>
    </row>
    <row r="41" spans="3:6" x14ac:dyDescent="0.25">
      <c r="C41" s="252" t="s">
        <v>265</v>
      </c>
      <c r="D41" s="274"/>
      <c r="E41" s="274"/>
      <c r="F41" s="274"/>
    </row>
    <row r="42" spans="3:6" x14ac:dyDescent="0.25">
      <c r="C42" s="252" t="s">
        <v>266</v>
      </c>
      <c r="D42" s="274"/>
      <c r="E42" s="274"/>
      <c r="F42" s="274"/>
    </row>
    <row r="43" spans="3:6" x14ac:dyDescent="0.25">
      <c r="C43" s="252" t="s">
        <v>267</v>
      </c>
      <c r="D43" s="274"/>
      <c r="E43" s="274"/>
      <c r="F43" s="274"/>
    </row>
    <row r="44" spans="3:6" ht="15.75" thickBot="1" x14ac:dyDescent="0.3">
      <c r="C44" s="253" t="s">
        <v>268</v>
      </c>
      <c r="D44" s="275"/>
      <c r="E44" s="275"/>
      <c r="F44" s="275"/>
    </row>
    <row r="45" spans="3:6" x14ac:dyDescent="0.25">
      <c r="C45" s="254" t="s">
        <v>269</v>
      </c>
      <c r="D45" s="277"/>
      <c r="E45" s="277"/>
      <c r="F45" s="277"/>
    </row>
    <row r="46" spans="3:6" x14ac:dyDescent="0.25">
      <c r="C46" s="255" t="s">
        <v>270</v>
      </c>
      <c r="D46" s="274"/>
      <c r="E46" s="274"/>
      <c r="F46" s="274"/>
    </row>
    <row r="47" spans="3:6" x14ac:dyDescent="0.25">
      <c r="C47" s="255" t="s">
        <v>271</v>
      </c>
      <c r="D47" s="274"/>
      <c r="E47" s="274"/>
      <c r="F47" s="274"/>
    </row>
    <row r="48" spans="3:6" ht="15.75" thickBot="1" x14ac:dyDescent="0.3">
      <c r="C48" s="255" t="s">
        <v>272</v>
      </c>
      <c r="D48" s="274"/>
      <c r="E48" s="274"/>
      <c r="F48" s="274"/>
    </row>
    <row r="49" spans="3:6" ht="15.75" thickBot="1" x14ac:dyDescent="0.3">
      <c r="C49" s="278" t="s">
        <v>273</v>
      </c>
      <c r="D49" s="279">
        <f>SUM(D28:D48)</f>
        <v>0</v>
      </c>
      <c r="E49" s="279">
        <f>SUM(E28:E48)</f>
        <v>0</v>
      </c>
      <c r="F49" s="279">
        <f>SUM(F28:F48)</f>
        <v>0</v>
      </c>
    </row>
    <row r="57" spans="3:6" ht="16.5" customHeight="1" x14ac:dyDescent="0.25"/>
    <row r="71" ht="15" customHeight="1" x14ac:dyDescent="0.25"/>
    <row r="90" ht="17.25" customHeight="1" x14ac:dyDescent="0.25"/>
  </sheetData>
  <sheetProtection algorithmName="SHA-512" hashValue="mRpC03p5wBE+i3YSGeXxHdaLTEwXY/jcUOhWNtGP6GDco/IBdZqB61T7AW1XMtyo+IsgccR8xNKF2VXSZaIBkA==" saltValue="EEw5fFJ3jNQ5lGZ9jRKw4g==" spinCount="100000" sheet="1" objects="1" scenarios="1"/>
  <mergeCells count="21">
    <mergeCell ref="B23:C23"/>
    <mergeCell ref="B15:C15"/>
    <mergeCell ref="B16:C16"/>
    <mergeCell ref="B17:C17"/>
    <mergeCell ref="B18:C18"/>
    <mergeCell ref="B19:C19"/>
    <mergeCell ref="B20:C20"/>
    <mergeCell ref="B21:C21"/>
    <mergeCell ref="B22:C22"/>
    <mergeCell ref="B12:C12"/>
    <mergeCell ref="B13:C13"/>
    <mergeCell ref="B14:C14"/>
    <mergeCell ref="B11:C11"/>
    <mergeCell ref="B2:F2"/>
    <mergeCell ref="B3:C3"/>
    <mergeCell ref="B5:C5"/>
    <mergeCell ref="B6:C6"/>
    <mergeCell ref="B7:C7"/>
    <mergeCell ref="B8:C8"/>
    <mergeCell ref="B10:C10"/>
    <mergeCell ref="B9:C9"/>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4662-7774-4598-BAD3-9CD9D12BD136}">
  <sheetPr codeName="Blad7"/>
  <dimension ref="B1:L96"/>
  <sheetViews>
    <sheetView topLeftCell="A13" zoomScale="80" zoomScaleNormal="80" workbookViewId="0">
      <selection activeCell="I26" sqref="I26"/>
    </sheetView>
  </sheetViews>
  <sheetFormatPr defaultColWidth="8.7109375" defaultRowHeight="15" x14ac:dyDescent="0.25"/>
  <cols>
    <col min="1" max="1" width="1.42578125" style="16" customWidth="1"/>
    <col min="2" max="2" width="45.85546875" style="16" customWidth="1"/>
    <col min="3" max="4" width="13.5703125" style="16" customWidth="1"/>
    <col min="5" max="6" width="13.7109375" style="16" customWidth="1"/>
    <col min="7" max="7" width="13.5703125" style="16" customWidth="1"/>
    <col min="8" max="8" width="13.7109375" style="16" customWidth="1"/>
    <col min="9" max="9" width="41.140625" style="16" customWidth="1"/>
    <col min="10" max="11" width="13.5703125" style="16" customWidth="1"/>
    <col min="12" max="12" width="13.7109375" style="16" customWidth="1"/>
    <col min="13" max="16384" width="8.7109375" style="16"/>
  </cols>
  <sheetData>
    <row r="1" spans="2:10" ht="53.25" customHeight="1" x14ac:dyDescent="0.25">
      <c r="C1" s="102" t="s">
        <v>274</v>
      </c>
    </row>
    <row r="2" spans="2:10" ht="16.5" customHeight="1" thickBot="1" x14ac:dyDescent="0.3"/>
    <row r="3" spans="2:10" ht="24.75" customHeight="1" thickBot="1" x14ac:dyDescent="0.3">
      <c r="B3" s="1123" t="s">
        <v>275</v>
      </c>
      <c r="C3" s="1124"/>
      <c r="D3" s="1124"/>
      <c r="E3" s="1124"/>
      <c r="F3" s="1124"/>
      <c r="G3" s="1124"/>
      <c r="H3" s="1205"/>
      <c r="I3" s="229" t="s">
        <v>2</v>
      </c>
    </row>
    <row r="4" spans="2:10" ht="15.75" customHeight="1" thickBot="1" x14ac:dyDescent="0.3">
      <c r="B4" s="280"/>
      <c r="C4" s="1206" t="s">
        <v>276</v>
      </c>
      <c r="D4" s="1207"/>
      <c r="E4" s="1208"/>
      <c r="F4" s="1206" t="s">
        <v>277</v>
      </c>
      <c r="G4" s="1207"/>
      <c r="H4" s="1208"/>
      <c r="I4" s="231"/>
    </row>
    <row r="5" spans="2:10" ht="30" customHeight="1" thickBot="1" x14ac:dyDescent="0.3">
      <c r="B5" s="281" t="s">
        <v>278</v>
      </c>
      <c r="C5" s="282" t="s">
        <v>279</v>
      </c>
      <c r="D5" s="283" t="s">
        <v>280</v>
      </c>
      <c r="E5" s="284" t="s">
        <v>281</v>
      </c>
      <c r="F5" s="285" t="s">
        <v>279</v>
      </c>
      <c r="G5" s="283" t="s">
        <v>280</v>
      </c>
      <c r="H5" s="286" t="str">
        <f>E5</f>
        <v>U*A, W/K</v>
      </c>
      <c r="I5" s="287"/>
    </row>
    <row r="6" spans="2:10" ht="15.75" customHeight="1" x14ac:dyDescent="0.25">
      <c r="B6" s="288" t="s">
        <v>282</v>
      </c>
      <c r="C6" s="357"/>
      <c r="D6" s="358"/>
      <c r="E6" s="289">
        <f>C6*D6</f>
        <v>0</v>
      </c>
      <c r="F6" s="363"/>
      <c r="G6" s="364"/>
      <c r="H6" s="289">
        <f>F6*G6</f>
        <v>0</v>
      </c>
      <c r="I6" s="855"/>
    </row>
    <row r="7" spans="2:10" ht="15.75" customHeight="1" x14ac:dyDescent="0.25">
      <c r="B7" s="290" t="s">
        <v>283</v>
      </c>
      <c r="C7" s="359"/>
      <c r="D7" s="360"/>
      <c r="E7" s="291">
        <f>C7*D7</f>
        <v>0</v>
      </c>
      <c r="F7" s="365"/>
      <c r="G7" s="366"/>
      <c r="H7" s="291">
        <f>F7*G7</f>
        <v>0</v>
      </c>
      <c r="I7" s="856"/>
    </row>
    <row r="8" spans="2:10" ht="15.75" customHeight="1" x14ac:dyDescent="0.25">
      <c r="B8" s="290" t="s">
        <v>284</v>
      </c>
      <c r="C8" s="359"/>
      <c r="D8" s="360"/>
      <c r="E8" s="292">
        <f t="shared" ref="E8:E15" si="0">C8*D8</f>
        <v>0</v>
      </c>
      <c r="F8" s="365"/>
      <c r="G8" s="366"/>
      <c r="H8" s="292">
        <f t="shared" ref="H8:H16" si="1">F8*G8</f>
        <v>0</v>
      </c>
      <c r="I8" s="856"/>
    </row>
    <row r="9" spans="2:10" ht="15.75" customHeight="1" x14ac:dyDescent="0.25">
      <c r="B9" s="290" t="s">
        <v>285</v>
      </c>
      <c r="C9" s="359"/>
      <c r="D9" s="360"/>
      <c r="E9" s="292">
        <f t="shared" si="0"/>
        <v>0</v>
      </c>
      <c r="F9" s="365"/>
      <c r="G9" s="366"/>
      <c r="H9" s="292">
        <f t="shared" si="1"/>
        <v>0</v>
      </c>
      <c r="I9" s="856"/>
    </row>
    <row r="10" spans="2:10" ht="15.75" customHeight="1" x14ac:dyDescent="0.25">
      <c r="B10" s="290" t="s">
        <v>286</v>
      </c>
      <c r="C10" s="359"/>
      <c r="D10" s="360"/>
      <c r="E10" s="292">
        <f t="shared" si="0"/>
        <v>0</v>
      </c>
      <c r="F10" s="365"/>
      <c r="G10" s="366"/>
      <c r="H10" s="292">
        <f t="shared" si="1"/>
        <v>0</v>
      </c>
      <c r="I10" s="856"/>
    </row>
    <row r="11" spans="2:10" x14ac:dyDescent="0.25">
      <c r="B11" s="290" t="s">
        <v>287</v>
      </c>
      <c r="C11" s="359"/>
      <c r="D11" s="360"/>
      <c r="E11" s="292">
        <f t="shared" si="0"/>
        <v>0</v>
      </c>
      <c r="F11" s="365"/>
      <c r="G11" s="366"/>
      <c r="H11" s="292">
        <f t="shared" si="1"/>
        <v>0</v>
      </c>
      <c r="I11" s="856"/>
    </row>
    <row r="12" spans="2:10" x14ac:dyDescent="0.25">
      <c r="B12" s="290" t="s">
        <v>288</v>
      </c>
      <c r="C12" s="359"/>
      <c r="D12" s="360"/>
      <c r="E12" s="292">
        <f t="shared" si="0"/>
        <v>0</v>
      </c>
      <c r="F12" s="365"/>
      <c r="G12" s="366"/>
      <c r="H12" s="292">
        <f t="shared" si="1"/>
        <v>0</v>
      </c>
      <c r="I12" s="856"/>
    </row>
    <row r="13" spans="2:10" x14ac:dyDescent="0.25">
      <c r="B13" s="290" t="s">
        <v>289</v>
      </c>
      <c r="C13" s="359"/>
      <c r="D13" s="360"/>
      <c r="E13" s="292">
        <f t="shared" si="0"/>
        <v>0</v>
      </c>
      <c r="F13" s="365"/>
      <c r="G13" s="366"/>
      <c r="H13" s="292">
        <f t="shared" si="1"/>
        <v>0</v>
      </c>
      <c r="I13" s="856"/>
      <c r="J13" s="111" t="s">
        <v>121</v>
      </c>
    </row>
    <row r="14" spans="2:10" x14ac:dyDescent="0.25">
      <c r="B14" s="290" t="s">
        <v>290</v>
      </c>
      <c r="C14" s="359"/>
      <c r="D14" s="360"/>
      <c r="E14" s="292">
        <f t="shared" si="0"/>
        <v>0</v>
      </c>
      <c r="F14" s="365"/>
      <c r="G14" s="366"/>
      <c r="H14" s="292">
        <f t="shared" si="1"/>
        <v>0</v>
      </c>
      <c r="I14" s="856"/>
      <c r="J14" s="140" t="s">
        <v>291</v>
      </c>
    </row>
    <row r="15" spans="2:10" x14ac:dyDescent="0.25">
      <c r="B15" s="290" t="s">
        <v>292</v>
      </c>
      <c r="C15" s="359"/>
      <c r="D15" s="360"/>
      <c r="E15" s="292">
        <f t="shared" si="0"/>
        <v>0</v>
      </c>
      <c r="F15" s="365"/>
      <c r="G15" s="366"/>
      <c r="H15" s="292">
        <f t="shared" si="1"/>
        <v>0</v>
      </c>
      <c r="I15" s="857"/>
      <c r="J15" s="140" t="s">
        <v>293</v>
      </c>
    </row>
    <row r="16" spans="2:10" ht="15.75" thickBot="1" x14ac:dyDescent="0.3">
      <c r="B16" s="293" t="s">
        <v>294</v>
      </c>
      <c r="C16" s="361"/>
      <c r="D16" s="362"/>
      <c r="E16" s="294">
        <f>C16*D16</f>
        <v>0</v>
      </c>
      <c r="F16" s="367"/>
      <c r="G16" s="368"/>
      <c r="H16" s="294">
        <f t="shared" si="1"/>
        <v>0</v>
      </c>
      <c r="I16" s="858"/>
      <c r="J16" s="140" t="s">
        <v>295</v>
      </c>
    </row>
    <row r="17" spans="2:10" ht="15.75" customHeight="1" thickBot="1" x14ac:dyDescent="0.3">
      <c r="B17" s="295" t="s">
        <v>296</v>
      </c>
      <c r="C17" s="296" t="s">
        <v>297</v>
      </c>
      <c r="D17" s="297">
        <f>SUM(D6:D16)</f>
        <v>0</v>
      </c>
      <c r="E17" s="298">
        <f>SUM(E6:E16)</f>
        <v>0</v>
      </c>
      <c r="F17" s="299"/>
      <c r="G17" s="297">
        <f>SUM(G6:G16)</f>
        <v>0</v>
      </c>
      <c r="H17" s="300">
        <f>SUM(H6:H16)</f>
        <v>0</v>
      </c>
      <c r="I17" s="859"/>
      <c r="J17" s="111"/>
    </row>
    <row r="18" spans="2:10" ht="30" customHeight="1" thickBot="1" x14ac:dyDescent="0.35">
      <c r="B18" s="301" t="s">
        <v>298</v>
      </c>
      <c r="C18" s="302" t="s">
        <v>299</v>
      </c>
      <c r="D18" s="283" t="s">
        <v>300</v>
      </c>
      <c r="E18" s="286" t="s">
        <v>301</v>
      </c>
      <c r="F18" s="285" t="str">
        <f>C18</f>
        <v>Ψ- värde W/m,K</v>
      </c>
      <c r="G18" s="303" t="str">
        <f>D18</f>
        <v>Längd, m</v>
      </c>
      <c r="H18" s="286" t="str">
        <f>E18</f>
        <v>Χ-värde, W/K</v>
      </c>
      <c r="I18" s="860"/>
      <c r="J18" s="140"/>
    </row>
    <row r="19" spans="2:10" ht="15.75" customHeight="1" x14ac:dyDescent="0.3">
      <c r="B19" s="288" t="s">
        <v>302</v>
      </c>
      <c r="C19" s="357"/>
      <c r="D19" s="358"/>
      <c r="E19" s="304">
        <f>C19*D19</f>
        <v>0</v>
      </c>
      <c r="F19" s="848"/>
      <c r="G19" s="849"/>
      <c r="H19" s="305">
        <f>F19*G19</f>
        <v>0</v>
      </c>
      <c r="I19" s="861"/>
      <c r="J19" s="111"/>
    </row>
    <row r="20" spans="2:10" ht="15.75" customHeight="1" x14ac:dyDescent="0.3">
      <c r="B20" s="290" t="s">
        <v>303</v>
      </c>
      <c r="C20" s="359"/>
      <c r="D20" s="360"/>
      <c r="E20" s="292">
        <f t="shared" ref="E20:E25" si="2">C20*D20</f>
        <v>0</v>
      </c>
      <c r="F20" s="850"/>
      <c r="G20" s="851"/>
      <c r="H20" s="306">
        <f t="shared" ref="H20:H25" si="3">F20*G20</f>
        <v>0</v>
      </c>
      <c r="I20" s="853"/>
    </row>
    <row r="21" spans="2:10" ht="15.75" customHeight="1" x14ac:dyDescent="0.3">
      <c r="B21" s="290" t="s">
        <v>304</v>
      </c>
      <c r="C21" s="359"/>
      <c r="D21" s="360"/>
      <c r="E21" s="292">
        <f t="shared" si="2"/>
        <v>0</v>
      </c>
      <c r="F21" s="850"/>
      <c r="G21" s="851"/>
      <c r="H21" s="306">
        <f t="shared" si="3"/>
        <v>0</v>
      </c>
      <c r="I21" s="853"/>
    </row>
    <row r="22" spans="2:10" ht="15.75" customHeight="1" x14ac:dyDescent="0.3">
      <c r="B22" s="290" t="s">
        <v>305</v>
      </c>
      <c r="C22" s="359"/>
      <c r="D22" s="360"/>
      <c r="E22" s="292">
        <f t="shared" si="2"/>
        <v>0</v>
      </c>
      <c r="F22" s="850"/>
      <c r="G22" s="851"/>
      <c r="H22" s="306">
        <f t="shared" si="3"/>
        <v>0</v>
      </c>
      <c r="I22" s="853"/>
    </row>
    <row r="23" spans="2:10" ht="15.75" customHeight="1" x14ac:dyDescent="0.3">
      <c r="B23" s="290" t="s">
        <v>306</v>
      </c>
      <c r="C23" s="359"/>
      <c r="D23" s="360"/>
      <c r="E23" s="292">
        <f t="shared" si="2"/>
        <v>0</v>
      </c>
      <c r="F23" s="850"/>
      <c r="G23" s="851"/>
      <c r="H23" s="306">
        <f t="shared" si="3"/>
        <v>0</v>
      </c>
      <c r="I23" s="853"/>
    </row>
    <row r="24" spans="2:10" ht="15.75" customHeight="1" x14ac:dyDescent="0.3">
      <c r="B24" s="290" t="s">
        <v>307</v>
      </c>
      <c r="C24" s="359"/>
      <c r="D24" s="360"/>
      <c r="E24" s="292">
        <f t="shared" si="2"/>
        <v>0</v>
      </c>
      <c r="F24" s="850"/>
      <c r="G24" s="851"/>
      <c r="H24" s="306">
        <f t="shared" si="3"/>
        <v>0</v>
      </c>
      <c r="I24" s="853"/>
    </row>
    <row r="25" spans="2:10" ht="15.75" customHeight="1" x14ac:dyDescent="0.3">
      <c r="B25" s="290" t="s">
        <v>308</v>
      </c>
      <c r="C25" s="359"/>
      <c r="D25" s="360"/>
      <c r="E25" s="292">
        <f t="shared" si="2"/>
        <v>0</v>
      </c>
      <c r="F25" s="850"/>
      <c r="G25" s="851"/>
      <c r="H25" s="306">
        <f t="shared" si="3"/>
        <v>0</v>
      </c>
      <c r="I25" s="853"/>
    </row>
    <row r="26" spans="2:10" ht="15.75" customHeight="1" thickBot="1" x14ac:dyDescent="0.35">
      <c r="B26" s="293" t="s">
        <v>309</v>
      </c>
      <c r="C26" s="307"/>
      <c r="D26" s="308"/>
      <c r="E26" s="369"/>
      <c r="F26" s="309"/>
      <c r="G26" s="310"/>
      <c r="H26" s="852"/>
      <c r="I26" s="853"/>
    </row>
    <row r="27" spans="2:10" ht="16.5" thickBot="1" x14ac:dyDescent="0.35">
      <c r="B27" s="311" t="s">
        <v>310</v>
      </c>
      <c r="C27" s="312"/>
      <c r="D27" s="313"/>
      <c r="E27" s="314">
        <f>SUM(E19:E26)</f>
        <v>0</v>
      </c>
      <c r="F27" s="315"/>
      <c r="G27" s="316"/>
      <c r="H27" s="317">
        <f>SUM(H19:H26)</f>
        <v>0</v>
      </c>
      <c r="I27" s="854"/>
    </row>
    <row r="28" spans="2:10" ht="0.75" customHeight="1" thickBot="1" x14ac:dyDescent="0.35">
      <c r="B28" s="318"/>
      <c r="C28" s="319"/>
      <c r="D28" s="320"/>
      <c r="E28" s="321"/>
      <c r="F28" s="315"/>
      <c r="G28" s="322"/>
      <c r="H28" s="323"/>
      <c r="I28" s="862"/>
    </row>
    <row r="29" spans="2:10" ht="15.75" customHeight="1" thickBot="1" x14ac:dyDescent="0.35">
      <c r="B29" s="324" t="s">
        <v>311</v>
      </c>
      <c r="C29" s="325">
        <f>IF(D17=0,0,(E17+E27)/D17)</f>
        <v>0</v>
      </c>
      <c r="D29" s="326" t="s">
        <v>312</v>
      </c>
      <c r="E29" s="327"/>
      <c r="F29" s="328">
        <f>IF(G17=0,0,(H17+H27)/G17)</f>
        <v>0</v>
      </c>
      <c r="G29" s="329"/>
      <c r="H29" s="866"/>
      <c r="I29" s="863"/>
    </row>
    <row r="30" spans="2:10" ht="15.75" customHeight="1" thickBot="1" x14ac:dyDescent="0.35">
      <c r="B30" s="330" t="s">
        <v>313</v>
      </c>
      <c r="C30" s="331">
        <f>IFERROR(D17/'A. Byggnadsinfo med BBR'!D43,0)</f>
        <v>0</v>
      </c>
      <c r="D30" s="332" t="s">
        <v>312</v>
      </c>
      <c r="E30" s="329"/>
      <c r="F30" s="331">
        <f>IFERROR(G17/'A. Byggnadsinfo med BBR'!E43,0)</f>
        <v>0</v>
      </c>
      <c r="G30" s="333"/>
      <c r="H30" s="867"/>
      <c r="I30" s="863"/>
    </row>
    <row r="31" spans="2:10" ht="15.75" customHeight="1" thickBot="1" x14ac:dyDescent="0.35">
      <c r="B31" s="334" t="s">
        <v>314</v>
      </c>
      <c r="C31" s="370"/>
      <c r="D31" s="335"/>
      <c r="E31" s="336"/>
      <c r="F31" s="336"/>
      <c r="G31" s="337"/>
      <c r="H31" s="370"/>
      <c r="I31" s="863"/>
    </row>
    <row r="33" spans="2:12" ht="15.75" customHeight="1" thickBot="1" x14ac:dyDescent="0.3">
      <c r="J33" s="111"/>
      <c r="K33" s="111"/>
      <c r="L33" s="111"/>
    </row>
    <row r="34" spans="2:12" ht="19.5" customHeight="1" thickBot="1" x14ac:dyDescent="0.3">
      <c r="B34" s="1123" t="s">
        <v>315</v>
      </c>
      <c r="C34" s="1124"/>
      <c r="D34" s="1124"/>
      <c r="E34" s="1124"/>
      <c r="F34" s="1124"/>
      <c r="G34" s="1124"/>
      <c r="H34" s="1205"/>
      <c r="I34" s="229" t="s">
        <v>2</v>
      </c>
      <c r="J34" s="138" t="s">
        <v>316</v>
      </c>
      <c r="K34" s="111"/>
      <c r="L34" s="111"/>
    </row>
    <row r="35" spans="2:12" ht="15.75" customHeight="1" thickBot="1" x14ac:dyDescent="0.3">
      <c r="B35" s="231"/>
      <c r="C35" s="1206" t="s">
        <v>276</v>
      </c>
      <c r="D35" s="1207"/>
      <c r="E35" s="1208"/>
      <c r="F35" s="1206" t="s">
        <v>277</v>
      </c>
      <c r="G35" s="1207"/>
      <c r="H35" s="1208"/>
      <c r="I35" s="108"/>
      <c r="J35" s="111"/>
      <c r="K35" s="111"/>
      <c r="L35" s="111"/>
    </row>
    <row r="36" spans="2:12" x14ac:dyDescent="0.25">
      <c r="B36" s="288" t="s">
        <v>317</v>
      </c>
      <c r="C36" s="1227" t="s">
        <v>17</v>
      </c>
      <c r="D36" s="1228"/>
      <c r="E36" s="1229"/>
      <c r="F36" s="1218" t="s">
        <v>17</v>
      </c>
      <c r="G36" s="1219"/>
      <c r="H36" s="1220"/>
      <c r="I36" s="855"/>
      <c r="K36" s="111"/>
      <c r="L36" s="111"/>
    </row>
    <row r="37" spans="2:12" x14ac:dyDescent="0.25">
      <c r="B37" s="290" t="s">
        <v>318</v>
      </c>
      <c r="C37" s="1212" t="s">
        <v>17</v>
      </c>
      <c r="D37" s="1213"/>
      <c r="E37" s="1214"/>
      <c r="F37" s="1221" t="s">
        <v>17</v>
      </c>
      <c r="G37" s="1222"/>
      <c r="H37" s="1223"/>
      <c r="I37" s="856"/>
      <c r="K37" s="111"/>
      <c r="L37" s="111"/>
    </row>
    <row r="38" spans="2:12" x14ac:dyDescent="0.25">
      <c r="B38" s="290" t="s">
        <v>319</v>
      </c>
      <c r="C38" s="1209" t="s">
        <v>17</v>
      </c>
      <c r="D38" s="1210"/>
      <c r="E38" s="1211"/>
      <c r="F38" s="1221" t="s">
        <v>17</v>
      </c>
      <c r="G38" s="1222"/>
      <c r="H38" s="1223"/>
      <c r="I38" s="856"/>
      <c r="J38" s="138" t="s">
        <v>320</v>
      </c>
      <c r="K38" s="111"/>
      <c r="L38" s="111"/>
    </row>
    <row r="39" spans="2:12" x14ac:dyDescent="0.25">
      <c r="B39" s="290" t="s">
        <v>321</v>
      </c>
      <c r="C39" s="1209" t="s">
        <v>17</v>
      </c>
      <c r="D39" s="1210"/>
      <c r="E39" s="1211"/>
      <c r="F39" s="1221" t="s">
        <v>17</v>
      </c>
      <c r="G39" s="1222"/>
      <c r="H39" s="1223"/>
      <c r="I39" s="856"/>
      <c r="J39" s="138" t="s">
        <v>322</v>
      </c>
      <c r="K39" s="111"/>
      <c r="L39" s="111"/>
    </row>
    <row r="40" spans="2:12" x14ac:dyDescent="0.25">
      <c r="B40" s="290" t="s">
        <v>323</v>
      </c>
      <c r="C40" s="1212" t="s">
        <v>17</v>
      </c>
      <c r="D40" s="1213"/>
      <c r="E40" s="1214"/>
      <c r="F40" s="1221" t="s">
        <v>17</v>
      </c>
      <c r="G40" s="1222"/>
      <c r="H40" s="1223"/>
      <c r="I40" s="856"/>
      <c r="J40" s="143" t="s">
        <v>324</v>
      </c>
    </row>
    <row r="41" spans="2:12" ht="15.75" thickBot="1" x14ac:dyDescent="0.3">
      <c r="B41" s="318" t="s">
        <v>325</v>
      </c>
      <c r="C41" s="1215" t="s">
        <v>17</v>
      </c>
      <c r="D41" s="1216"/>
      <c r="E41" s="1217"/>
      <c r="F41" s="1239" t="s">
        <v>17</v>
      </c>
      <c r="G41" s="1240"/>
      <c r="H41" s="1241"/>
      <c r="I41" s="868"/>
      <c r="J41" s="111" t="s">
        <v>326</v>
      </c>
      <c r="K41" s="150"/>
    </row>
    <row r="42" spans="2:12" ht="15.75" customHeight="1" thickBot="1" x14ac:dyDescent="0.3">
      <c r="K42" s="150"/>
    </row>
    <row r="43" spans="2:12" ht="22.5" customHeight="1" thickBot="1" x14ac:dyDescent="0.3">
      <c r="B43" s="338" t="s">
        <v>327</v>
      </c>
      <c r="C43" s="339"/>
      <c r="D43" s="339"/>
      <c r="E43" s="339"/>
      <c r="F43" s="339"/>
      <c r="G43" s="339"/>
      <c r="H43" s="229"/>
      <c r="I43" s="229" t="s">
        <v>2</v>
      </c>
      <c r="K43" s="150"/>
    </row>
    <row r="44" spans="2:12" ht="15.75" customHeight="1" thickBot="1" x14ac:dyDescent="0.35">
      <c r="B44" s="340"/>
      <c r="C44" s="1242" t="str">
        <f>C35</f>
        <v>Beräknat/projekterat</v>
      </c>
      <c r="D44" s="1243"/>
      <c r="E44" s="1244"/>
      <c r="F44" s="1230" t="str">
        <f>F35</f>
        <v>Uppdaterat färdig byggnad</v>
      </c>
      <c r="G44" s="1231"/>
      <c r="H44" s="1232"/>
      <c r="I44" s="108"/>
    </row>
    <row r="45" spans="2:12" ht="15.75" customHeight="1" x14ac:dyDescent="0.3">
      <c r="B45" s="288" t="s">
        <v>328</v>
      </c>
      <c r="C45" s="1236" t="s">
        <v>17</v>
      </c>
      <c r="D45" s="1237"/>
      <c r="E45" s="1238"/>
      <c r="F45" s="1233" t="str">
        <f>F36</f>
        <v>     </v>
      </c>
      <c r="G45" s="1234"/>
      <c r="H45" s="1235"/>
      <c r="I45" s="855"/>
    </row>
    <row r="46" spans="2:12" ht="15.75" customHeight="1" x14ac:dyDescent="0.3">
      <c r="B46" s="290" t="s">
        <v>329</v>
      </c>
      <c r="C46" s="1224" t="s">
        <v>17</v>
      </c>
      <c r="D46" s="1225"/>
      <c r="E46" s="1226"/>
      <c r="F46" s="1259" t="str">
        <f>F37</f>
        <v>     </v>
      </c>
      <c r="G46" s="1260"/>
      <c r="H46" s="1261"/>
      <c r="I46" s="856"/>
      <c r="J46" s="138"/>
    </row>
    <row r="47" spans="2:12" ht="15.75" customHeight="1" x14ac:dyDescent="0.3">
      <c r="B47" s="290" t="s">
        <v>330</v>
      </c>
      <c r="C47" s="1224"/>
      <c r="D47" s="1225"/>
      <c r="E47" s="1226"/>
      <c r="F47" s="1259" t="str">
        <f>F38</f>
        <v>     </v>
      </c>
      <c r="G47" s="1260"/>
      <c r="H47" s="1261"/>
      <c r="I47" s="856"/>
      <c r="J47" s="111"/>
    </row>
    <row r="48" spans="2:12" ht="15.75" customHeight="1" x14ac:dyDescent="0.3">
      <c r="B48" s="290" t="s">
        <v>331</v>
      </c>
      <c r="C48" s="1224" t="s">
        <v>332</v>
      </c>
      <c r="D48" s="1225"/>
      <c r="E48" s="1226"/>
      <c r="F48" s="1259" t="str">
        <f>F39</f>
        <v>     </v>
      </c>
      <c r="G48" s="1260"/>
      <c r="H48" s="1261"/>
      <c r="I48" s="856"/>
      <c r="J48" s="111"/>
    </row>
    <row r="49" spans="2:10" ht="15.75" customHeight="1" x14ac:dyDescent="0.25">
      <c r="B49" s="1247" t="s">
        <v>333</v>
      </c>
      <c r="C49" s="1224"/>
      <c r="D49" s="1225"/>
      <c r="E49" s="1226"/>
      <c r="F49" s="1224"/>
      <c r="G49" s="1225"/>
      <c r="H49" s="1226"/>
      <c r="I49" s="1245"/>
      <c r="J49" s="111"/>
    </row>
    <row r="50" spans="2:10" ht="15.75" customHeight="1" thickBot="1" x14ac:dyDescent="0.3">
      <c r="B50" s="1248"/>
      <c r="C50" s="1256"/>
      <c r="D50" s="1257"/>
      <c r="E50" s="1258"/>
      <c r="F50" s="1256"/>
      <c r="G50" s="1257"/>
      <c r="H50" s="1258"/>
      <c r="I50" s="1246"/>
    </row>
    <row r="51" spans="2:10" ht="15.75" customHeight="1" thickBot="1" x14ac:dyDescent="0.3"/>
    <row r="52" spans="2:10" ht="20.25" customHeight="1" thickBot="1" x14ac:dyDescent="0.3">
      <c r="B52" s="1123" t="s">
        <v>334</v>
      </c>
      <c r="C52" s="1124"/>
      <c r="D52" s="1124"/>
      <c r="E52" s="1124"/>
      <c r="F52" s="1124"/>
      <c r="G52" s="1124"/>
      <c r="H52" s="1124"/>
      <c r="I52" s="229" t="s">
        <v>2</v>
      </c>
    </row>
    <row r="53" spans="2:10" ht="15.75" customHeight="1" thickBot="1" x14ac:dyDescent="0.3">
      <c r="B53" s="341"/>
      <c r="C53" s="1253" t="str">
        <f>C44</f>
        <v>Beräknat/projekterat</v>
      </c>
      <c r="D53" s="1254"/>
      <c r="E53" s="1255"/>
      <c r="F53" s="1253" t="str">
        <f>F44</f>
        <v>Uppdaterat färdig byggnad</v>
      </c>
      <c r="G53" s="1170"/>
      <c r="H53" s="1171"/>
      <c r="I53" s="231"/>
    </row>
    <row r="54" spans="2:10" ht="15.75" customHeight="1" thickBot="1" x14ac:dyDescent="0.3">
      <c r="B54" s="342" t="s">
        <v>335</v>
      </c>
      <c r="C54" s="343" t="s">
        <v>336</v>
      </c>
      <c r="D54" s="283" t="s">
        <v>336</v>
      </c>
      <c r="E54" s="344" t="s">
        <v>336</v>
      </c>
      <c r="F54" s="345" t="s">
        <v>336</v>
      </c>
      <c r="G54" s="283" t="s">
        <v>336</v>
      </c>
      <c r="H54" s="344" t="s">
        <v>336</v>
      </c>
      <c r="I54" s="230"/>
      <c r="J54" s="138" t="s">
        <v>337</v>
      </c>
    </row>
    <row r="55" spans="2:10" x14ac:dyDescent="0.25">
      <c r="B55" s="288" t="s">
        <v>338</v>
      </c>
      <c r="C55" s="371"/>
      <c r="D55" s="372" t="s">
        <v>17</v>
      </c>
      <c r="E55" s="373" t="s">
        <v>17</v>
      </c>
      <c r="F55" s="374" t="s">
        <v>17</v>
      </c>
      <c r="G55" s="372" t="s">
        <v>17</v>
      </c>
      <c r="H55" s="375" t="s">
        <v>17</v>
      </c>
      <c r="I55" s="376" t="s">
        <v>17</v>
      </c>
    </row>
    <row r="56" spans="2:10" x14ac:dyDescent="0.25">
      <c r="B56" s="290" t="s">
        <v>339</v>
      </c>
      <c r="C56" s="377"/>
      <c r="D56" s="378"/>
      <c r="E56" s="379"/>
      <c r="F56" s="380"/>
      <c r="G56" s="378"/>
      <c r="H56" s="381"/>
      <c r="I56" s="382"/>
      <c r="J56" s="111" t="s">
        <v>340</v>
      </c>
    </row>
    <row r="57" spans="2:10" ht="15.75" customHeight="1" thickBot="1" x14ac:dyDescent="0.3">
      <c r="B57" s="293" t="s">
        <v>341</v>
      </c>
      <c r="C57" s="383"/>
      <c r="D57" s="384" t="s">
        <v>17</v>
      </c>
      <c r="E57" s="385" t="s">
        <v>17</v>
      </c>
      <c r="F57" s="386" t="s">
        <v>17</v>
      </c>
      <c r="G57" s="384" t="s">
        <v>17</v>
      </c>
      <c r="H57" s="387" t="s">
        <v>17</v>
      </c>
      <c r="I57" s="388" t="s">
        <v>17</v>
      </c>
    </row>
    <row r="58" spans="2:10" ht="15.75" customHeight="1" thickBot="1" x14ac:dyDescent="0.3">
      <c r="B58" s="346" t="s">
        <v>342</v>
      </c>
      <c r="C58" s="347" t="s">
        <v>336</v>
      </c>
      <c r="D58" s="348" t="s">
        <v>336</v>
      </c>
      <c r="E58" s="349" t="s">
        <v>336</v>
      </c>
      <c r="F58" s="350" t="s">
        <v>336</v>
      </c>
      <c r="G58" s="348" t="s">
        <v>336</v>
      </c>
      <c r="H58" s="349" t="s">
        <v>336</v>
      </c>
      <c r="I58" s="351"/>
    </row>
    <row r="59" spans="2:10" ht="15.75" customHeight="1" x14ac:dyDescent="0.25">
      <c r="B59" s="352" t="s">
        <v>343</v>
      </c>
      <c r="C59" s="371"/>
      <c r="D59" s="372" t="s">
        <v>17</v>
      </c>
      <c r="E59" s="373" t="s">
        <v>17</v>
      </c>
      <c r="F59" s="374" t="s">
        <v>17</v>
      </c>
      <c r="G59" s="389" t="s">
        <v>17</v>
      </c>
      <c r="H59" s="373" t="s">
        <v>17</v>
      </c>
      <c r="I59" s="390" t="s">
        <v>17</v>
      </c>
    </row>
    <row r="60" spans="2:10" ht="15.75" customHeight="1" x14ac:dyDescent="0.25">
      <c r="B60" s="353" t="s">
        <v>344</v>
      </c>
      <c r="C60" s="377"/>
      <c r="D60" s="378" t="s">
        <v>17</v>
      </c>
      <c r="E60" s="379" t="s">
        <v>17</v>
      </c>
      <c r="F60" s="380" t="s">
        <v>17</v>
      </c>
      <c r="G60" s="391" t="s">
        <v>17</v>
      </c>
      <c r="H60" s="379" t="s">
        <v>17</v>
      </c>
      <c r="I60" s="392" t="s">
        <v>17</v>
      </c>
    </row>
    <row r="61" spans="2:10" ht="15.75" customHeight="1" x14ac:dyDescent="0.25">
      <c r="B61" s="353" t="s">
        <v>345</v>
      </c>
      <c r="C61" s="377"/>
      <c r="D61" s="378" t="s">
        <v>17</v>
      </c>
      <c r="E61" s="379" t="s">
        <v>17</v>
      </c>
      <c r="F61" s="380" t="s">
        <v>17</v>
      </c>
      <c r="G61" s="391" t="s">
        <v>17</v>
      </c>
      <c r="H61" s="379" t="s">
        <v>17</v>
      </c>
      <c r="I61" s="392" t="s">
        <v>17</v>
      </c>
    </row>
    <row r="62" spans="2:10" x14ac:dyDescent="0.25">
      <c r="B62" s="353" t="s">
        <v>346</v>
      </c>
      <c r="C62" s="377"/>
      <c r="D62" s="378" t="s">
        <v>17</v>
      </c>
      <c r="E62" s="379" t="s">
        <v>17</v>
      </c>
      <c r="F62" s="380" t="s">
        <v>17</v>
      </c>
      <c r="G62" s="391" t="s">
        <v>17</v>
      </c>
      <c r="H62" s="379" t="s">
        <v>17</v>
      </c>
      <c r="I62" s="392" t="s">
        <v>17</v>
      </c>
    </row>
    <row r="63" spans="2:10" ht="15.75" customHeight="1" x14ac:dyDescent="0.25">
      <c r="B63" s="353" t="s">
        <v>347</v>
      </c>
      <c r="C63" s="377"/>
      <c r="D63" s="378" t="s">
        <v>17</v>
      </c>
      <c r="E63" s="379" t="s">
        <v>17</v>
      </c>
      <c r="F63" s="380" t="s">
        <v>17</v>
      </c>
      <c r="G63" s="391" t="s">
        <v>17</v>
      </c>
      <c r="H63" s="379" t="s">
        <v>17</v>
      </c>
      <c r="I63" s="392" t="s">
        <v>17</v>
      </c>
    </row>
    <row r="64" spans="2:10" ht="15.75" customHeight="1" x14ac:dyDescent="0.25">
      <c r="B64" s="353" t="s">
        <v>348</v>
      </c>
      <c r="C64" s="377"/>
      <c r="D64" s="378" t="s">
        <v>17</v>
      </c>
      <c r="E64" s="379" t="s">
        <v>17</v>
      </c>
      <c r="F64" s="380" t="s">
        <v>17</v>
      </c>
      <c r="G64" s="391" t="s">
        <v>17</v>
      </c>
      <c r="H64" s="379" t="s">
        <v>17</v>
      </c>
      <c r="I64" s="392" t="s">
        <v>17</v>
      </c>
      <c r="J64" s="138"/>
    </row>
    <row r="65" spans="2:11" ht="15.75" customHeight="1" thickBot="1" x14ac:dyDescent="0.3">
      <c r="B65" s="354" t="s">
        <v>349</v>
      </c>
      <c r="C65" s="383"/>
      <c r="D65" s="384" t="s">
        <v>17</v>
      </c>
      <c r="E65" s="385" t="s">
        <v>17</v>
      </c>
      <c r="F65" s="386" t="s">
        <v>17</v>
      </c>
      <c r="G65" s="393" t="s">
        <v>17</v>
      </c>
      <c r="H65" s="385" t="s">
        <v>17</v>
      </c>
      <c r="I65" s="394" t="s">
        <v>17</v>
      </c>
    </row>
    <row r="66" spans="2:11" ht="15.75" thickBot="1" x14ac:dyDescent="0.3">
      <c r="K66" s="116"/>
    </row>
    <row r="67" spans="2:11" ht="20.25" customHeight="1" thickBot="1" x14ac:dyDescent="0.3">
      <c r="B67" s="1123" t="s">
        <v>350</v>
      </c>
      <c r="C67" s="1124"/>
      <c r="D67" s="1124"/>
      <c r="E67" s="1124"/>
      <c r="F67" s="1124"/>
      <c r="G67" s="1124"/>
      <c r="H67" s="339"/>
      <c r="I67" s="19" t="s">
        <v>2</v>
      </c>
    </row>
    <row r="68" spans="2:11" ht="19.5" customHeight="1" thickBot="1" x14ac:dyDescent="0.3">
      <c r="B68" s="355"/>
      <c r="C68" s="1206" t="str">
        <f>C53</f>
        <v>Beräknat/projekterat</v>
      </c>
      <c r="D68" s="1249"/>
      <c r="E68" s="1250"/>
      <c r="F68" s="1206" t="str">
        <f>F53</f>
        <v>Uppdaterat färdig byggnad</v>
      </c>
      <c r="G68" s="1251"/>
      <c r="H68" s="1252"/>
      <c r="I68" s="105"/>
      <c r="J68" s="111" t="s">
        <v>351</v>
      </c>
    </row>
    <row r="69" spans="2:11" ht="15.75" customHeight="1" thickBot="1" x14ac:dyDescent="0.3">
      <c r="B69" s="281" t="s">
        <v>352</v>
      </c>
      <c r="C69" s="343" t="s">
        <v>336</v>
      </c>
      <c r="D69" s="283" t="s">
        <v>336</v>
      </c>
      <c r="E69" s="344" t="s">
        <v>336</v>
      </c>
      <c r="F69" s="345" t="s">
        <v>336</v>
      </c>
      <c r="G69" s="283" t="s">
        <v>336</v>
      </c>
      <c r="H69" s="344" t="s">
        <v>336</v>
      </c>
      <c r="I69" s="356"/>
      <c r="J69" s="138" t="s">
        <v>353</v>
      </c>
    </row>
    <row r="70" spans="2:11" ht="18.75" customHeight="1" x14ac:dyDescent="0.25">
      <c r="B70" s="288" t="s">
        <v>354</v>
      </c>
      <c r="C70" s="395" t="s">
        <v>17</v>
      </c>
      <c r="D70" s="396" t="s">
        <v>17</v>
      </c>
      <c r="E70" s="397" t="s">
        <v>17</v>
      </c>
      <c r="F70" s="398" t="s">
        <v>17</v>
      </c>
      <c r="G70" s="396" t="s">
        <v>17</v>
      </c>
      <c r="H70" s="397" t="s">
        <v>17</v>
      </c>
      <c r="I70" s="399" t="s">
        <v>17</v>
      </c>
    </row>
    <row r="71" spans="2:11" ht="18.75" customHeight="1" x14ac:dyDescent="0.25">
      <c r="B71" s="290" t="s">
        <v>355</v>
      </c>
      <c r="C71" s="400" t="s">
        <v>17</v>
      </c>
      <c r="D71" s="401" t="s">
        <v>17</v>
      </c>
      <c r="E71" s="402" t="s">
        <v>17</v>
      </c>
      <c r="F71" s="403" t="s">
        <v>17</v>
      </c>
      <c r="G71" s="401" t="s">
        <v>17</v>
      </c>
      <c r="H71" s="402" t="s">
        <v>17</v>
      </c>
      <c r="I71" s="404" t="s">
        <v>17</v>
      </c>
    </row>
    <row r="72" spans="2:11" ht="18.75" customHeight="1" x14ac:dyDescent="0.25">
      <c r="B72" s="290" t="s">
        <v>356</v>
      </c>
      <c r="C72" s="400" t="s">
        <v>17</v>
      </c>
      <c r="D72" s="401" t="s">
        <v>17</v>
      </c>
      <c r="E72" s="402" t="s">
        <v>17</v>
      </c>
      <c r="F72" s="403" t="s">
        <v>17</v>
      </c>
      <c r="G72" s="401" t="s">
        <v>17</v>
      </c>
      <c r="H72" s="402" t="s">
        <v>17</v>
      </c>
      <c r="I72" s="404" t="s">
        <v>17</v>
      </c>
    </row>
    <row r="73" spans="2:11" ht="18.75" customHeight="1" x14ac:dyDescent="0.25">
      <c r="B73" s="290" t="s">
        <v>357</v>
      </c>
      <c r="C73" s="400" t="s">
        <v>17</v>
      </c>
      <c r="D73" s="401" t="s">
        <v>17</v>
      </c>
      <c r="E73" s="402" t="s">
        <v>17</v>
      </c>
      <c r="F73" s="403" t="s">
        <v>17</v>
      </c>
      <c r="G73" s="401" t="s">
        <v>17</v>
      </c>
      <c r="H73" s="402" t="s">
        <v>17</v>
      </c>
      <c r="I73" s="404" t="s">
        <v>17</v>
      </c>
    </row>
    <row r="74" spans="2:11" ht="18.75" customHeight="1" x14ac:dyDescent="0.25">
      <c r="B74" s="290" t="s">
        <v>358</v>
      </c>
      <c r="C74" s="400" t="s">
        <v>17</v>
      </c>
      <c r="D74" s="401" t="s">
        <v>17</v>
      </c>
      <c r="E74" s="402" t="s">
        <v>17</v>
      </c>
      <c r="F74" s="403" t="s">
        <v>17</v>
      </c>
      <c r="G74" s="401" t="s">
        <v>17</v>
      </c>
      <c r="H74" s="402" t="s">
        <v>17</v>
      </c>
      <c r="I74" s="404" t="s">
        <v>17</v>
      </c>
    </row>
    <row r="75" spans="2:11" ht="18.75" customHeight="1" x14ac:dyDescent="0.25">
      <c r="B75" s="290" t="s">
        <v>359</v>
      </c>
      <c r="C75" s="400" t="s">
        <v>17</v>
      </c>
      <c r="D75" s="401" t="s">
        <v>17</v>
      </c>
      <c r="E75" s="402" t="s">
        <v>17</v>
      </c>
      <c r="F75" s="403" t="s">
        <v>17</v>
      </c>
      <c r="G75" s="401" t="s">
        <v>17</v>
      </c>
      <c r="H75" s="402" t="s">
        <v>17</v>
      </c>
      <c r="I75" s="404" t="s">
        <v>17</v>
      </c>
    </row>
    <row r="76" spans="2:11" ht="18.75" customHeight="1" x14ac:dyDescent="0.25">
      <c r="B76" s="290" t="s">
        <v>360</v>
      </c>
      <c r="C76" s="400" t="s">
        <v>17</v>
      </c>
      <c r="D76" s="401" t="s">
        <v>17</v>
      </c>
      <c r="E76" s="402" t="s">
        <v>17</v>
      </c>
      <c r="F76" s="403" t="s">
        <v>17</v>
      </c>
      <c r="G76" s="401" t="s">
        <v>17</v>
      </c>
      <c r="H76" s="402" t="s">
        <v>17</v>
      </c>
      <c r="I76" s="404" t="s">
        <v>17</v>
      </c>
    </row>
    <row r="77" spans="2:11" ht="18.75" customHeight="1" x14ac:dyDescent="0.25">
      <c r="B77" s="290" t="s">
        <v>361</v>
      </c>
      <c r="C77" s="400" t="s">
        <v>17</v>
      </c>
      <c r="D77" s="401" t="s">
        <v>17</v>
      </c>
      <c r="E77" s="402" t="s">
        <v>17</v>
      </c>
      <c r="F77" s="403" t="s">
        <v>17</v>
      </c>
      <c r="G77" s="401" t="s">
        <v>17</v>
      </c>
      <c r="H77" s="402" t="s">
        <v>17</v>
      </c>
      <c r="I77" s="404" t="s">
        <v>17</v>
      </c>
      <c r="J77" s="138" t="s">
        <v>362</v>
      </c>
    </row>
    <row r="78" spans="2:11" ht="18.75" customHeight="1" x14ac:dyDescent="0.25">
      <c r="B78" s="290" t="s">
        <v>363</v>
      </c>
      <c r="C78" s="400" t="s">
        <v>17</v>
      </c>
      <c r="D78" s="401" t="s">
        <v>17</v>
      </c>
      <c r="E78" s="402" t="s">
        <v>17</v>
      </c>
      <c r="F78" s="403" t="s">
        <v>17</v>
      </c>
      <c r="G78" s="401" t="s">
        <v>17</v>
      </c>
      <c r="H78" s="402" t="s">
        <v>17</v>
      </c>
      <c r="I78" s="404" t="s">
        <v>17</v>
      </c>
    </row>
    <row r="79" spans="2:11" ht="18.75" customHeight="1" x14ac:dyDescent="0.25">
      <c r="B79" s="290" t="s">
        <v>364</v>
      </c>
      <c r="C79" s="400" t="s">
        <v>17</v>
      </c>
      <c r="D79" s="401" t="s">
        <v>17</v>
      </c>
      <c r="E79" s="402" t="s">
        <v>17</v>
      </c>
      <c r="F79" s="403" t="s">
        <v>17</v>
      </c>
      <c r="G79" s="401" t="s">
        <v>17</v>
      </c>
      <c r="H79" s="402" t="s">
        <v>17</v>
      </c>
      <c r="I79" s="404" t="s">
        <v>17</v>
      </c>
      <c r="J79" s="138" t="s">
        <v>365</v>
      </c>
    </row>
    <row r="80" spans="2:11" ht="18.75" customHeight="1" x14ac:dyDescent="0.25">
      <c r="B80" s="290" t="s">
        <v>366</v>
      </c>
      <c r="C80" s="400" t="s">
        <v>17</v>
      </c>
      <c r="D80" s="401" t="s">
        <v>17</v>
      </c>
      <c r="E80" s="402" t="s">
        <v>17</v>
      </c>
      <c r="F80" s="403" t="s">
        <v>17</v>
      </c>
      <c r="G80" s="401" t="s">
        <v>17</v>
      </c>
      <c r="H80" s="402" t="s">
        <v>17</v>
      </c>
      <c r="I80" s="404" t="s">
        <v>17</v>
      </c>
    </row>
    <row r="81" spans="2:10" ht="15.75" thickBot="1" x14ac:dyDescent="0.3">
      <c r="B81" s="293" t="s">
        <v>17</v>
      </c>
      <c r="C81" s="405" t="s">
        <v>17</v>
      </c>
      <c r="D81" s="406" t="s">
        <v>17</v>
      </c>
      <c r="E81" s="407" t="s">
        <v>17</v>
      </c>
      <c r="F81" s="408" t="s">
        <v>17</v>
      </c>
      <c r="G81" s="406" t="s">
        <v>17</v>
      </c>
      <c r="H81" s="407" t="s">
        <v>17</v>
      </c>
      <c r="I81" s="409" t="s">
        <v>17</v>
      </c>
    </row>
    <row r="82" spans="2:10" ht="15.75" customHeight="1" thickBot="1" x14ac:dyDescent="0.3">
      <c r="B82" s="281" t="s">
        <v>367</v>
      </c>
      <c r="C82" s="343" t="s">
        <v>336</v>
      </c>
      <c r="D82" s="283" t="s">
        <v>336</v>
      </c>
      <c r="E82" s="344" t="s">
        <v>336</v>
      </c>
      <c r="F82" s="345" t="s">
        <v>336</v>
      </c>
      <c r="G82" s="283" t="s">
        <v>336</v>
      </c>
      <c r="H82" s="344" t="s">
        <v>336</v>
      </c>
      <c r="I82" s="356"/>
      <c r="J82" s="143"/>
    </row>
    <row r="83" spans="2:10" x14ac:dyDescent="0.25">
      <c r="B83" s="288" t="s">
        <v>368</v>
      </c>
      <c r="C83" s="395" t="s">
        <v>17</v>
      </c>
      <c r="D83" s="396" t="s">
        <v>17</v>
      </c>
      <c r="E83" s="397" t="s">
        <v>17</v>
      </c>
      <c r="F83" s="398" t="s">
        <v>17</v>
      </c>
      <c r="G83" s="396" t="s">
        <v>17</v>
      </c>
      <c r="H83" s="397" t="s">
        <v>17</v>
      </c>
      <c r="I83" s="399" t="s">
        <v>17</v>
      </c>
    </row>
    <row r="84" spans="2:10" x14ac:dyDescent="0.25">
      <c r="B84" s="290" t="s">
        <v>369</v>
      </c>
      <c r="C84" s="400" t="s">
        <v>17</v>
      </c>
      <c r="D84" s="401" t="s">
        <v>17</v>
      </c>
      <c r="E84" s="402" t="s">
        <v>17</v>
      </c>
      <c r="F84" s="403" t="s">
        <v>17</v>
      </c>
      <c r="G84" s="401" t="s">
        <v>17</v>
      </c>
      <c r="H84" s="402" t="s">
        <v>17</v>
      </c>
      <c r="I84" s="404" t="s">
        <v>17</v>
      </c>
    </row>
    <row r="85" spans="2:10" x14ac:dyDescent="0.25">
      <c r="B85" s="290" t="s">
        <v>370</v>
      </c>
      <c r="C85" s="410"/>
      <c r="D85" s="401" t="s">
        <v>17</v>
      </c>
      <c r="E85" s="402" t="s">
        <v>17</v>
      </c>
      <c r="F85" s="403" t="s">
        <v>17</v>
      </c>
      <c r="G85" s="401" t="s">
        <v>17</v>
      </c>
      <c r="H85" s="402" t="s">
        <v>17</v>
      </c>
      <c r="I85" s="404" t="s">
        <v>17</v>
      </c>
    </row>
    <row r="86" spans="2:10" ht="15.75" thickBot="1" x14ac:dyDescent="0.3">
      <c r="B86" s="293" t="s">
        <v>17</v>
      </c>
      <c r="C86" s="405" t="s">
        <v>17</v>
      </c>
      <c r="D86" s="406" t="s">
        <v>17</v>
      </c>
      <c r="E86" s="407" t="s">
        <v>17</v>
      </c>
      <c r="F86" s="408" t="s">
        <v>17</v>
      </c>
      <c r="G86" s="406" t="s">
        <v>17</v>
      </c>
      <c r="H86" s="407" t="s">
        <v>17</v>
      </c>
      <c r="I86" s="409" t="s">
        <v>17</v>
      </c>
    </row>
    <row r="87" spans="2:10" ht="15.75" customHeight="1" thickBot="1" x14ac:dyDescent="0.3">
      <c r="B87" s="281" t="s">
        <v>371</v>
      </c>
      <c r="C87" s="343" t="s">
        <v>336</v>
      </c>
      <c r="D87" s="283" t="s">
        <v>336</v>
      </c>
      <c r="E87" s="344" t="s">
        <v>336</v>
      </c>
      <c r="F87" s="345" t="s">
        <v>336</v>
      </c>
      <c r="G87" s="283" t="s">
        <v>336</v>
      </c>
      <c r="H87" s="344" t="s">
        <v>336</v>
      </c>
      <c r="I87" s="356"/>
    </row>
    <row r="88" spans="2:10" x14ac:dyDescent="0.25">
      <c r="B88" s="288" t="s">
        <v>372</v>
      </c>
      <c r="C88" s="395" t="s">
        <v>17</v>
      </c>
      <c r="D88" s="396" t="s">
        <v>17</v>
      </c>
      <c r="E88" s="397" t="s">
        <v>17</v>
      </c>
      <c r="F88" s="398" t="s">
        <v>17</v>
      </c>
      <c r="G88" s="396" t="s">
        <v>17</v>
      </c>
      <c r="H88" s="397" t="s">
        <v>17</v>
      </c>
      <c r="I88" s="399" t="s">
        <v>17</v>
      </c>
    </row>
    <row r="89" spans="2:10" ht="15.75" thickBot="1" x14ac:dyDescent="0.3">
      <c r="B89" s="318" t="s">
        <v>373</v>
      </c>
      <c r="C89" s="400" t="s">
        <v>17</v>
      </c>
      <c r="D89" s="401" t="s">
        <v>17</v>
      </c>
      <c r="E89" s="402" t="s">
        <v>17</v>
      </c>
      <c r="F89" s="403" t="s">
        <v>17</v>
      </c>
      <c r="G89" s="401" t="s">
        <v>17</v>
      </c>
      <c r="H89" s="402" t="s">
        <v>17</v>
      </c>
      <c r="I89" s="409" t="s">
        <v>17</v>
      </c>
    </row>
    <row r="90" spans="2:10" ht="15.75" thickBot="1" x14ac:dyDescent="0.3">
      <c r="B90" s="342" t="s">
        <v>374</v>
      </c>
      <c r="C90" s="343" t="s">
        <v>336</v>
      </c>
      <c r="D90" s="283" t="s">
        <v>336</v>
      </c>
      <c r="E90" s="344" t="s">
        <v>336</v>
      </c>
      <c r="F90" s="345" t="s">
        <v>336</v>
      </c>
      <c r="G90" s="283" t="s">
        <v>336</v>
      </c>
      <c r="H90" s="344" t="s">
        <v>336</v>
      </c>
      <c r="I90" s="356"/>
    </row>
    <row r="91" spans="2:10" x14ac:dyDescent="0.25">
      <c r="B91" s="411"/>
      <c r="C91" s="400"/>
      <c r="D91" s="401"/>
      <c r="E91" s="402"/>
      <c r="F91" s="403"/>
      <c r="G91" s="401"/>
      <c r="H91" s="402"/>
      <c r="I91" s="404"/>
    </row>
    <row r="92" spans="2:10" x14ac:dyDescent="0.25">
      <c r="B92" s="412"/>
      <c r="C92" s="400"/>
      <c r="D92" s="401"/>
      <c r="E92" s="402"/>
      <c r="F92" s="403"/>
      <c r="G92" s="401"/>
      <c r="H92" s="402"/>
      <c r="I92" s="404"/>
    </row>
    <row r="93" spans="2:10" x14ac:dyDescent="0.25">
      <c r="B93" s="412"/>
      <c r="C93" s="400"/>
      <c r="D93" s="401"/>
      <c r="E93" s="402"/>
      <c r="F93" s="403"/>
      <c r="G93" s="401"/>
      <c r="H93" s="402"/>
      <c r="I93" s="404"/>
    </row>
    <row r="94" spans="2:10" x14ac:dyDescent="0.25">
      <c r="B94" s="412"/>
      <c r="C94" s="400"/>
      <c r="D94" s="401"/>
      <c r="E94" s="402"/>
      <c r="F94" s="403"/>
      <c r="G94" s="401"/>
      <c r="H94" s="402"/>
      <c r="I94" s="404"/>
    </row>
    <row r="95" spans="2:10" x14ac:dyDescent="0.25">
      <c r="B95" s="412"/>
      <c r="C95" s="400"/>
      <c r="D95" s="401"/>
      <c r="E95" s="402"/>
      <c r="F95" s="403"/>
      <c r="G95" s="401"/>
      <c r="H95" s="402"/>
      <c r="I95" s="404"/>
    </row>
    <row r="96" spans="2:10" ht="15.75" thickBot="1" x14ac:dyDescent="0.3">
      <c r="B96" s="413"/>
      <c r="C96" s="414"/>
      <c r="D96" s="406"/>
      <c r="E96" s="407"/>
      <c r="F96" s="408"/>
      <c r="G96" s="406"/>
      <c r="H96" s="407"/>
      <c r="I96" s="409"/>
    </row>
  </sheetData>
  <sheetProtection algorithmName="SHA-512" hashValue="d8l7qYm6Vjamyj6kJAn3R6gtcazPkBHzWHGp2/SdmVCkmYDF2JYLQNmONFxZhUVOX5pIvD1p9y7elRF1QgpVbw==" saltValue="BjPG9Wm7BqaJAmeb38dI1w==" spinCount="100000" sheet="1" objects="1" scenarios="1"/>
  <mergeCells count="38">
    <mergeCell ref="C46:E46"/>
    <mergeCell ref="C47:E47"/>
    <mergeCell ref="I49:I50"/>
    <mergeCell ref="B49:B50"/>
    <mergeCell ref="C68:E68"/>
    <mergeCell ref="F68:H68"/>
    <mergeCell ref="F53:H53"/>
    <mergeCell ref="C53:E53"/>
    <mergeCell ref="C49:E50"/>
    <mergeCell ref="F49:H50"/>
    <mergeCell ref="B52:H52"/>
    <mergeCell ref="F46:H46"/>
    <mergeCell ref="F47:H47"/>
    <mergeCell ref="F48:H48"/>
    <mergeCell ref="C36:E36"/>
    <mergeCell ref="C37:E37"/>
    <mergeCell ref="C38:E38"/>
    <mergeCell ref="F44:H44"/>
    <mergeCell ref="F45:H45"/>
    <mergeCell ref="C45:E45"/>
    <mergeCell ref="F41:H41"/>
    <mergeCell ref="C44:E44"/>
    <mergeCell ref="B34:H34"/>
    <mergeCell ref="B67:G67"/>
    <mergeCell ref="B3:H3"/>
    <mergeCell ref="C4:E4"/>
    <mergeCell ref="F4:H4"/>
    <mergeCell ref="C39:E39"/>
    <mergeCell ref="C40:E40"/>
    <mergeCell ref="C41:E41"/>
    <mergeCell ref="F36:H36"/>
    <mergeCell ref="F37:H37"/>
    <mergeCell ref="F38:H38"/>
    <mergeCell ref="F39:H39"/>
    <mergeCell ref="F40:H40"/>
    <mergeCell ref="C48:E48"/>
    <mergeCell ref="C35:E35"/>
    <mergeCell ref="F35:H35"/>
  </mergeCells>
  <phoneticPr fontId="41" type="noConversion"/>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AB45-35A6-43FC-8566-21E4F5559A91}">
  <dimension ref="A1:X81"/>
  <sheetViews>
    <sheetView zoomScale="80" zoomScaleNormal="80" workbookViewId="0">
      <selection activeCell="D40" sqref="D40"/>
    </sheetView>
  </sheetViews>
  <sheetFormatPr defaultRowHeight="15" x14ac:dyDescent="0.25"/>
  <cols>
    <col min="1" max="1" width="1.85546875" customWidth="1"/>
    <col min="2" max="2" width="4.5703125" customWidth="1"/>
    <col min="3" max="3" width="68.140625" customWidth="1"/>
    <col min="4" max="5" width="15.7109375" customWidth="1"/>
    <col min="6" max="6" width="16.42578125" customWidth="1"/>
    <col min="7" max="7" width="15.7109375" customWidth="1"/>
  </cols>
  <sheetData>
    <row r="1" spans="1:24" x14ac:dyDescent="0.25">
      <c r="A1" s="734"/>
      <c r="B1" s="735"/>
      <c r="C1" s="735"/>
      <c r="D1" s="734"/>
      <c r="E1" s="734"/>
      <c r="F1" s="734"/>
      <c r="G1" s="734"/>
      <c r="H1" s="734"/>
      <c r="I1" s="735"/>
      <c r="J1" s="735"/>
      <c r="K1" s="734"/>
      <c r="L1" s="734"/>
      <c r="M1" s="734"/>
      <c r="N1" s="734"/>
      <c r="O1" s="734"/>
      <c r="P1" s="734"/>
      <c r="Q1" s="734"/>
      <c r="R1" s="746"/>
      <c r="S1" s="746"/>
      <c r="T1" s="746"/>
      <c r="U1" s="746"/>
      <c r="V1" s="746"/>
      <c r="W1" s="746"/>
      <c r="X1" s="746"/>
    </row>
    <row r="2" spans="1:24" ht="57" customHeight="1" thickBot="1" x14ac:dyDescent="0.3">
      <c r="A2" s="734"/>
      <c r="B2" s="735"/>
      <c r="C2" s="1262" t="s">
        <v>375</v>
      </c>
      <c r="D2" s="1263"/>
      <c r="E2" s="1264"/>
      <c r="F2" s="1264"/>
      <c r="G2" s="1264"/>
      <c r="H2" s="734"/>
      <c r="I2" s="735"/>
      <c r="J2" s="1262"/>
      <c r="K2" s="1263"/>
      <c r="L2" s="1264"/>
      <c r="M2" s="1264"/>
      <c r="N2" s="1264"/>
      <c r="O2" s="734"/>
      <c r="P2" s="734"/>
      <c r="Q2" s="734"/>
      <c r="R2" s="746"/>
      <c r="S2" s="746"/>
      <c r="T2" s="746"/>
      <c r="U2" s="746"/>
      <c r="V2" s="746"/>
      <c r="W2" s="746"/>
      <c r="X2" s="746"/>
    </row>
    <row r="3" spans="1:24" ht="44.25" customHeight="1" x14ac:dyDescent="0.25">
      <c r="A3" s="734"/>
      <c r="B3" s="1265" t="s">
        <v>376</v>
      </c>
      <c r="C3" s="1267" t="s">
        <v>377</v>
      </c>
      <c r="D3" s="767" t="s">
        <v>228</v>
      </c>
      <c r="E3" s="767" t="s">
        <v>378</v>
      </c>
      <c r="F3" s="767" t="s">
        <v>379</v>
      </c>
      <c r="G3" s="767" t="s">
        <v>11</v>
      </c>
      <c r="H3" s="734"/>
      <c r="I3" s="1265" t="s">
        <v>376</v>
      </c>
      <c r="J3" s="1267" t="s">
        <v>377</v>
      </c>
      <c r="K3" s="767" t="s">
        <v>228</v>
      </c>
      <c r="L3" s="767" t="s">
        <v>378</v>
      </c>
      <c r="M3" s="767" t="s">
        <v>379</v>
      </c>
      <c r="N3" s="767" t="s">
        <v>11</v>
      </c>
      <c r="O3" s="734"/>
      <c r="P3" s="734"/>
      <c r="Q3" s="734"/>
      <c r="R3" s="746"/>
      <c r="S3" s="746"/>
      <c r="T3" s="746"/>
      <c r="U3" s="746"/>
      <c r="V3" s="746"/>
      <c r="W3" s="746"/>
      <c r="X3" s="746"/>
    </row>
    <row r="4" spans="1:24" ht="19.5" customHeight="1" thickBot="1" x14ac:dyDescent="0.3">
      <c r="A4" s="734"/>
      <c r="B4" s="1266"/>
      <c r="C4" s="1268"/>
      <c r="D4" s="766" t="s">
        <v>231</v>
      </c>
      <c r="E4" s="762" t="s">
        <v>231</v>
      </c>
      <c r="F4" s="762" t="s">
        <v>231</v>
      </c>
      <c r="G4" s="766" t="s">
        <v>231</v>
      </c>
      <c r="H4" s="734"/>
      <c r="I4" s="1266"/>
      <c r="J4" s="1268"/>
      <c r="K4" s="766" t="s">
        <v>231</v>
      </c>
      <c r="L4" s="762" t="s">
        <v>231</v>
      </c>
      <c r="M4" s="762" t="s">
        <v>231</v>
      </c>
      <c r="N4" s="766" t="s">
        <v>231</v>
      </c>
      <c r="O4" s="734"/>
      <c r="P4" s="734"/>
      <c r="Q4" s="734"/>
      <c r="R4" s="746"/>
      <c r="S4" s="746"/>
      <c r="T4" s="746"/>
      <c r="U4" s="746"/>
      <c r="V4" s="746"/>
      <c r="W4" s="746"/>
      <c r="X4" s="746"/>
    </row>
    <row r="5" spans="1:24" ht="19.5" customHeight="1" x14ac:dyDescent="0.25">
      <c r="A5" s="734"/>
      <c r="B5" s="753">
        <v>1</v>
      </c>
      <c r="C5" s="739" t="s">
        <v>380</v>
      </c>
      <c r="D5" s="750">
        <f>IFERROR('B1. Resultat beräkning'!D29/'A. Byggnadsinfo med BBR'!D43,0)</f>
        <v>0</v>
      </c>
      <c r="E5" s="750">
        <f>IFERROR('B1. Resultat beräkning'!E29/'A. Byggnadsinfo med BBR'!D43,0)</f>
        <v>0</v>
      </c>
      <c r="F5" s="750">
        <f>IFERROR('B1. Resultat beräkning'!F29/'A. Byggnadsinfo med BBR'!E43,0)</f>
        <v>0</v>
      </c>
      <c r="G5" s="750">
        <f>IFERROR(PETberäkning!E11/'A. Byggnadsinfo med BBR'!E43,0)</f>
        <v>0</v>
      </c>
      <c r="H5" s="734"/>
      <c r="I5" s="753">
        <v>1</v>
      </c>
      <c r="J5" s="739" t="s">
        <v>380</v>
      </c>
      <c r="K5" s="750">
        <f>IFERROR('B1. Resultat beräkning'!K29/'A. Byggnadsinfo med BBR'!K43,0)</f>
        <v>0</v>
      </c>
      <c r="L5" s="750">
        <f>IFERROR('B1. Resultat beräkning'!L29/'A. Byggnadsinfo med BBR'!K43,0)</f>
        <v>0</v>
      </c>
      <c r="M5" s="750">
        <f>IFERROR('B1. Resultat beräkning'!M29/'A. Byggnadsinfo med BBR'!L43,0)</f>
        <v>0</v>
      </c>
      <c r="N5" s="750">
        <f>IFERROR(PETberäkning!L11/'A. Byggnadsinfo med BBR'!L43,0)</f>
        <v>0</v>
      </c>
      <c r="O5" s="734"/>
      <c r="P5" s="734"/>
      <c r="Q5" s="734"/>
      <c r="R5" s="746"/>
      <c r="S5" s="746"/>
      <c r="T5" s="746"/>
      <c r="U5" s="746"/>
      <c r="V5" s="746"/>
      <c r="W5" s="746"/>
      <c r="X5" s="746"/>
    </row>
    <row r="6" spans="1:24" ht="19.5" customHeight="1" x14ac:dyDescent="0.25">
      <c r="A6" s="734"/>
      <c r="B6" s="754">
        <v>2</v>
      </c>
      <c r="C6" s="781" t="s">
        <v>959</v>
      </c>
      <c r="D6" s="787">
        <f>IFERROR(('B1. Resultat beräkning'!D28+'B1. Resultat beräkning'!D32)*'C2. Inmatning och verifiering'!W6/'A. Byggnadsinfo med BBR'!D43,0)</f>
        <v>0</v>
      </c>
      <c r="E6" s="787">
        <f>IFERROR(('B1. Resultat beräkning'!E28+'B1. Resultat beräkning'!E32)*'C2. Inmatning och verifiering'!W6/'A. Byggnadsinfo med BBR'!D43,0)</f>
        <v>0</v>
      </c>
      <c r="F6" s="787">
        <f>IFERROR(('B1. Resultat beräkning'!F28+'B1. Resultat beräkning'!F32)*'C2. Inmatning och verifiering'!W6/'A. Byggnadsinfo med BBR'!E43,0)</f>
        <v>0</v>
      </c>
      <c r="G6" s="750">
        <f>IFERROR(PETberäkning!E10*'C2. Inmatning och verifiering'!W6/'A. Byggnadsinfo med BBR'!E43,0)</f>
        <v>0</v>
      </c>
      <c r="H6" s="734"/>
      <c r="I6" s="754">
        <v>2</v>
      </c>
      <c r="J6" s="781" t="s">
        <v>959</v>
      </c>
      <c r="K6" s="787">
        <f>IFERROR(('B1. Resultat beräkning'!K28+'B1. Resultat beräkning'!K32)*'C2. Inmatning och verifiering'!AD6/'A. Byggnadsinfo med BBR'!K43,0)</f>
        <v>0</v>
      </c>
      <c r="L6" s="787">
        <f>IFERROR(('B1. Resultat beräkning'!L28+'B1. Resultat beräkning'!L32)*'C2. Inmatning och verifiering'!AD6/'A. Byggnadsinfo med BBR'!K43,0)</f>
        <v>0</v>
      </c>
      <c r="M6" s="787">
        <f>IFERROR(('B1. Resultat beräkning'!M28+'B1. Resultat beräkning'!M32)*'C2. Inmatning och verifiering'!AD6/'A. Byggnadsinfo med BBR'!L43,0)</f>
        <v>0</v>
      </c>
      <c r="N6" s="750">
        <f>IFERROR(PETberäkning!L10*'C2. Inmatning och verifiering'!AD6/'A. Byggnadsinfo med BBR'!L43,0)</f>
        <v>0</v>
      </c>
      <c r="O6" s="734"/>
      <c r="P6" s="734"/>
      <c r="Q6" s="734"/>
      <c r="R6" s="746"/>
      <c r="S6" s="746"/>
      <c r="T6" s="746"/>
      <c r="U6" s="746"/>
      <c r="V6" s="746"/>
      <c r="W6" s="746"/>
      <c r="X6" s="746"/>
    </row>
    <row r="7" spans="1:24" ht="19.5" customHeight="1" x14ac:dyDescent="0.25">
      <c r="A7" s="734"/>
      <c r="B7" s="754">
        <v>3</v>
      </c>
      <c r="C7" s="739" t="s">
        <v>381</v>
      </c>
      <c r="D7" s="750">
        <f>IFERROR(('B1. Resultat beräkning'!D30+'B1. Resultat beräkning'!D31)/'A. Byggnadsinfo med BBR'!D43,0)</f>
        <v>0</v>
      </c>
      <c r="E7" s="750">
        <f>IFERROR(('B1. Resultat beräkning'!E30+'B1. Resultat beräkning'!E31)/'A. Byggnadsinfo med BBR'!D43,0)</f>
        <v>0</v>
      </c>
      <c r="F7" s="750">
        <f>IFERROR(('B1. Resultat beräkning'!F30+'B1. Resultat beräkning'!F31)/'A. Byggnadsinfo med BBR'!E43,0)</f>
        <v>0</v>
      </c>
      <c r="G7" s="750">
        <f>IFERROR((PETberäkning!E12+PETberäkning!E13)/'A. Byggnadsinfo med BBR'!E43,0)</f>
        <v>0</v>
      </c>
      <c r="H7" s="734"/>
      <c r="I7" s="754">
        <v>3</v>
      </c>
      <c r="J7" s="739" t="s">
        <v>381</v>
      </c>
      <c r="K7" s="750">
        <f>IFERROR(('B1. Resultat beräkning'!K30+'B1. Resultat beräkning'!K31)/'A. Byggnadsinfo med BBR'!K43,0)</f>
        <v>0</v>
      </c>
      <c r="L7" s="750">
        <f>IFERROR(('B1. Resultat beräkning'!L30+'B1. Resultat beräkning'!L31)/'A. Byggnadsinfo med BBR'!K43,0)</f>
        <v>0</v>
      </c>
      <c r="M7" s="750">
        <f>IFERROR(('B1. Resultat beräkning'!M30+'B1. Resultat beräkning'!M31)/'A. Byggnadsinfo med BBR'!L43,0)</f>
        <v>0</v>
      </c>
      <c r="N7" s="750">
        <f>IFERROR((PETberäkning!L12+PETberäkning!L13)/'A. Byggnadsinfo med BBR'!L43,0)</f>
        <v>0</v>
      </c>
      <c r="O7" s="734"/>
      <c r="P7" s="734"/>
      <c r="Q7" s="734"/>
      <c r="R7" s="746"/>
      <c r="S7" s="746"/>
      <c r="T7" s="746"/>
      <c r="U7" s="746"/>
      <c r="V7" s="746"/>
      <c r="W7" s="746"/>
      <c r="X7" s="746"/>
    </row>
    <row r="8" spans="1:24" ht="19.5" customHeight="1" x14ac:dyDescent="0.25">
      <c r="A8" s="734"/>
      <c r="B8" s="754">
        <v>4</v>
      </c>
      <c r="C8" s="739" t="s">
        <v>382</v>
      </c>
      <c r="D8" s="750">
        <f>'B1. Resultat beräkning'!D8</f>
        <v>0</v>
      </c>
      <c r="E8" s="750">
        <f>'B1. Resultat beräkning'!E8</f>
        <v>0</v>
      </c>
      <c r="F8" s="750">
        <f>'B1. Resultat beräkning'!F8</f>
        <v>0</v>
      </c>
      <c r="G8" s="750">
        <f>IFERROR('C2. Inmatning och verifiering'!AG26/'A. Byggnadsinfo med BBR'!E43,0)</f>
        <v>0</v>
      </c>
      <c r="H8" s="734"/>
      <c r="I8" s="754">
        <v>4</v>
      </c>
      <c r="J8" s="739" t="s">
        <v>382</v>
      </c>
      <c r="K8" s="750">
        <f>'B1. Resultat beräkning'!K8</f>
        <v>0</v>
      </c>
      <c r="L8" s="750">
        <f>'B1. Resultat beräkning'!L8</f>
        <v>0</v>
      </c>
      <c r="M8" s="750">
        <f>'B1. Resultat beräkning'!M8</f>
        <v>0</v>
      </c>
      <c r="N8" s="750">
        <f>IFERROR('C2. Inmatning och verifiering'!AN26/'A. Byggnadsinfo med BBR'!L43,0)</f>
        <v>0</v>
      </c>
      <c r="O8" s="734"/>
      <c r="P8" s="734"/>
      <c r="Q8" s="734"/>
      <c r="R8" s="746"/>
      <c r="S8" s="746"/>
      <c r="T8" s="746"/>
      <c r="U8" s="746"/>
      <c r="V8" s="746"/>
      <c r="W8" s="746"/>
      <c r="X8" s="746"/>
    </row>
    <row r="9" spans="1:24" ht="19.5" customHeight="1" x14ac:dyDescent="0.25">
      <c r="A9" s="734"/>
      <c r="B9" s="754">
        <v>5</v>
      </c>
      <c r="C9" s="740" t="s">
        <v>383</v>
      </c>
      <c r="D9" s="750">
        <f>'B1. Resultat beräkning'!D9</f>
        <v>0</v>
      </c>
      <c r="E9" s="750">
        <f>'B1. Resultat beräkning'!E9</f>
        <v>0</v>
      </c>
      <c r="F9" s="750">
        <f>'B1. Resultat beräkning'!F9</f>
        <v>0</v>
      </c>
      <c r="G9" s="813"/>
      <c r="H9" s="734"/>
      <c r="I9" s="754">
        <v>5</v>
      </c>
      <c r="J9" s="740" t="s">
        <v>383</v>
      </c>
      <c r="K9" s="750">
        <f>'B1. Resultat beräkning'!K9</f>
        <v>0</v>
      </c>
      <c r="L9" s="750">
        <f>'B1. Resultat beräkning'!L9</f>
        <v>0</v>
      </c>
      <c r="M9" s="750">
        <f>'B1. Resultat beräkning'!M9</f>
        <v>0</v>
      </c>
      <c r="N9" s="813"/>
      <c r="O9" s="734"/>
      <c r="P9" s="734"/>
      <c r="Q9" s="734"/>
      <c r="R9" s="746"/>
      <c r="S9" s="746"/>
      <c r="T9" s="746"/>
      <c r="U9" s="746"/>
      <c r="V9" s="746"/>
      <c r="W9" s="746"/>
      <c r="X9" s="746"/>
    </row>
    <row r="10" spans="1:24" ht="19.5" customHeight="1" x14ac:dyDescent="0.25">
      <c r="A10" s="734"/>
      <c r="B10" s="755">
        <v>6</v>
      </c>
      <c r="C10" s="741" t="s">
        <v>237</v>
      </c>
      <c r="D10" s="772">
        <f>'B1. Resultat beräkning'!D10</f>
        <v>0</v>
      </c>
      <c r="E10" s="772">
        <f>'B1. Resultat beräkning'!E10</f>
        <v>0</v>
      </c>
      <c r="F10" s="772">
        <f>'B1. Resultat beräkning'!F10</f>
        <v>0</v>
      </c>
      <c r="G10" s="771"/>
      <c r="H10" s="734"/>
      <c r="I10" s="755">
        <v>6</v>
      </c>
      <c r="J10" s="741" t="s">
        <v>237</v>
      </c>
      <c r="K10" s="772">
        <f>'B1. Resultat beräkning'!K10</f>
        <v>0</v>
      </c>
      <c r="L10" s="772">
        <f>'B1. Resultat beräkning'!L10</f>
        <v>0</v>
      </c>
      <c r="M10" s="772">
        <f>'B1. Resultat beräkning'!M10</f>
        <v>0</v>
      </c>
      <c r="N10" s="771"/>
      <c r="O10" s="734"/>
      <c r="P10" s="734"/>
      <c r="Q10" s="734"/>
      <c r="R10" s="746"/>
      <c r="S10" s="746"/>
      <c r="T10" s="746"/>
      <c r="U10" s="746"/>
      <c r="V10" s="746"/>
      <c r="W10" s="746"/>
      <c r="X10" s="746"/>
    </row>
    <row r="11" spans="1:24" ht="19.5" customHeight="1" thickBot="1" x14ac:dyDescent="0.3">
      <c r="A11" s="734"/>
      <c r="B11" s="756">
        <v>7</v>
      </c>
      <c r="C11" s="742" t="s">
        <v>384</v>
      </c>
      <c r="D11" s="774">
        <f>'B1. Resultat beräkning'!D19</f>
        <v>0</v>
      </c>
      <c r="E11" s="774">
        <f>'B1. Resultat beräkning'!E19</f>
        <v>0</v>
      </c>
      <c r="F11" s="774">
        <f>'B1. Resultat beräkning'!F19</f>
        <v>0</v>
      </c>
      <c r="G11" s="770"/>
      <c r="H11" s="734"/>
      <c r="I11" s="756">
        <v>7</v>
      </c>
      <c r="J11" s="742" t="s">
        <v>384</v>
      </c>
      <c r="K11" s="774">
        <f>'B1. Resultat beräkning'!K19</f>
        <v>0</v>
      </c>
      <c r="L11" s="774">
        <f>'B1. Resultat beräkning'!L19</f>
        <v>0</v>
      </c>
      <c r="M11" s="774">
        <f>'B1. Resultat beräkning'!M19</f>
        <v>0</v>
      </c>
      <c r="N11" s="770"/>
      <c r="O11" s="734"/>
      <c r="P11" s="734"/>
      <c r="Q11" s="734"/>
      <c r="R11" s="746"/>
      <c r="S11" s="746"/>
      <c r="T11" s="746"/>
      <c r="U11" s="746"/>
      <c r="V11" s="746"/>
      <c r="W11" s="746"/>
      <c r="X11" s="746"/>
    </row>
    <row r="12" spans="1:24" ht="19.5" customHeight="1" thickBot="1" x14ac:dyDescent="0.3">
      <c r="A12" s="734"/>
      <c r="B12" s="757"/>
      <c r="C12" s="761" t="s">
        <v>385</v>
      </c>
      <c r="D12" s="759"/>
      <c r="E12" s="759" t="s">
        <v>17</v>
      </c>
      <c r="F12" s="759"/>
      <c r="G12" s="759"/>
      <c r="H12" s="734"/>
      <c r="I12" s="757"/>
      <c r="J12" s="761" t="s">
        <v>385</v>
      </c>
      <c r="K12" s="759"/>
      <c r="L12" s="759" t="s">
        <v>17</v>
      </c>
      <c r="M12" s="759"/>
      <c r="N12" s="759"/>
      <c r="O12" s="734"/>
      <c r="P12" s="734"/>
      <c r="Q12" s="734"/>
      <c r="R12" s="746"/>
      <c r="S12" s="746"/>
      <c r="T12" s="746"/>
      <c r="U12" s="746"/>
      <c r="V12" s="746"/>
      <c r="W12" s="746"/>
      <c r="X12" s="746"/>
    </row>
    <row r="13" spans="1:24" ht="19.5" customHeight="1" x14ac:dyDescent="0.25">
      <c r="A13" s="734"/>
      <c r="B13" s="758">
        <v>8</v>
      </c>
      <c r="C13" s="743" t="s">
        <v>386</v>
      </c>
      <c r="D13" s="750">
        <f>'B1. Resultat beräkning'!D6</f>
        <v>0</v>
      </c>
      <c r="E13" s="750">
        <f>'B1. Resultat beräkning'!E6</f>
        <v>0</v>
      </c>
      <c r="F13" s="750">
        <f>'B1. Resultat beräkning'!F6</f>
        <v>0</v>
      </c>
      <c r="G13" s="750">
        <f>IFERROR(('C2. Inmatning och verifiering'!M26+'C2. Inmatning och verifiering'!N26+'C2. Inmatning och verifiering'!O26+'C2. Inmatning och verifiering'!P26)/'A. Byggnadsinfo med BBR'!E43,0)</f>
        <v>0</v>
      </c>
      <c r="H13" s="734"/>
      <c r="I13" s="758">
        <v>8</v>
      </c>
      <c r="J13" s="743" t="s">
        <v>386</v>
      </c>
      <c r="K13" s="750">
        <f>'B1. Resultat beräkning'!K6</f>
        <v>0</v>
      </c>
      <c r="L13" s="750">
        <f>'B1. Resultat beräkning'!L6</f>
        <v>0</v>
      </c>
      <c r="M13" s="750">
        <f>'B1. Resultat beräkning'!M6</f>
        <v>0</v>
      </c>
      <c r="N13" s="750" t="e">
        <f>('C2. Inmatning och verifiering'!T26+'C2. Inmatning och verifiering'!U26+'C2. Inmatning och verifiering'!V26+'C2. Inmatning och verifiering'!W26)/'A. Byggnadsinfo med BBR'!L43</f>
        <v>#VALUE!</v>
      </c>
      <c r="O13" s="734"/>
      <c r="P13" s="734"/>
      <c r="Q13" s="734"/>
      <c r="R13" s="746"/>
      <c r="S13" s="746"/>
      <c r="T13" s="746"/>
      <c r="U13" s="746"/>
      <c r="V13" s="746"/>
      <c r="W13" s="746"/>
      <c r="X13" s="746"/>
    </row>
    <row r="14" spans="1:24" ht="19.5" customHeight="1" thickBot="1" x14ac:dyDescent="0.3">
      <c r="A14" s="734" t="s">
        <v>387</v>
      </c>
      <c r="B14" s="756">
        <v>9</v>
      </c>
      <c r="C14" s="744" t="s">
        <v>234</v>
      </c>
      <c r="D14" s="773">
        <f>'B1. Resultat beräkning'!D7</f>
        <v>0</v>
      </c>
      <c r="E14" s="773">
        <f>'B1. Resultat beräkning'!E7</f>
        <v>0</v>
      </c>
      <c r="F14" s="773">
        <f>'B1. Resultat beräkning'!F7</f>
        <v>0</v>
      </c>
      <c r="G14" s="775"/>
      <c r="H14" s="734" t="s">
        <v>387</v>
      </c>
      <c r="I14" s="756">
        <v>9</v>
      </c>
      <c r="J14" s="744" t="s">
        <v>234</v>
      </c>
      <c r="K14" s="773">
        <f>'B1. Resultat beräkning'!K7</f>
        <v>0</v>
      </c>
      <c r="L14" s="773">
        <f>'B1. Resultat beräkning'!L7</f>
        <v>0</v>
      </c>
      <c r="M14" s="773">
        <f>'B1. Resultat beräkning'!M7</f>
        <v>0</v>
      </c>
      <c r="N14" s="775"/>
      <c r="O14" s="734"/>
      <c r="P14" s="734"/>
      <c r="Q14" s="734"/>
      <c r="R14" s="746"/>
      <c r="S14" s="746"/>
      <c r="T14" s="746"/>
      <c r="U14" s="746"/>
      <c r="V14" s="746"/>
      <c r="W14" s="746"/>
      <c r="X14" s="746"/>
    </row>
    <row r="15" spans="1:24" ht="24.75" customHeight="1" thickBot="1" x14ac:dyDescent="0.3">
      <c r="A15" s="734"/>
      <c r="B15" s="757">
        <v>10</v>
      </c>
      <c r="C15" s="783" t="s">
        <v>388</v>
      </c>
      <c r="D15" s="751">
        <f>SUM(D5:D11)</f>
        <v>0</v>
      </c>
      <c r="E15" s="751">
        <f>SUM(E5:E11)</f>
        <v>0</v>
      </c>
      <c r="F15" s="751">
        <f>SUM(F5:F11)</f>
        <v>0</v>
      </c>
      <c r="G15" s="751">
        <f>SUM(G5:G9)</f>
        <v>0</v>
      </c>
      <c r="H15" s="734"/>
      <c r="I15" s="757">
        <v>10</v>
      </c>
      <c r="J15" s="783" t="s">
        <v>388</v>
      </c>
      <c r="K15" s="751">
        <f>SUM(K5:K11)</f>
        <v>0</v>
      </c>
      <c r="L15" s="751">
        <f>SUM(L5:L11)</f>
        <v>0</v>
      </c>
      <c r="M15" s="751">
        <f>SUM(M5:M11)</f>
        <v>0</v>
      </c>
      <c r="N15" s="751">
        <f>SUM(N5:N9)</f>
        <v>0</v>
      </c>
      <c r="O15" s="734"/>
      <c r="P15" s="734"/>
      <c r="Q15" s="734"/>
      <c r="R15" s="746"/>
      <c r="S15" s="746"/>
      <c r="T15" s="746"/>
      <c r="U15" s="746"/>
      <c r="V15" s="746"/>
      <c r="W15" s="746"/>
      <c r="X15" s="746"/>
    </row>
    <row r="16" spans="1:24" x14ac:dyDescent="0.25">
      <c r="A16" s="734"/>
      <c r="B16" s="745"/>
      <c r="C16" s="735"/>
      <c r="D16" s="734"/>
      <c r="E16" s="734"/>
      <c r="F16" s="734"/>
      <c r="G16" s="734"/>
      <c r="H16" s="734"/>
      <c r="I16" s="734"/>
      <c r="J16" s="734"/>
      <c r="K16" s="734"/>
      <c r="L16" s="734"/>
      <c r="M16" s="734"/>
      <c r="N16" s="734"/>
      <c r="O16" s="734"/>
      <c r="P16" s="734"/>
      <c r="Q16" s="734"/>
      <c r="R16" s="746"/>
      <c r="S16" s="746"/>
      <c r="T16" s="746"/>
      <c r="U16" s="746"/>
      <c r="V16" s="746"/>
      <c r="W16" s="746"/>
      <c r="X16" s="746"/>
    </row>
    <row r="17" spans="1:24" ht="15.75" thickBot="1" x14ac:dyDescent="0.3">
      <c r="A17" s="734"/>
      <c r="B17" s="745"/>
      <c r="C17" s="735"/>
      <c r="D17" s="734"/>
      <c r="E17" s="734"/>
      <c r="F17" s="734"/>
      <c r="G17" s="734"/>
      <c r="H17" s="734"/>
      <c r="I17" s="734"/>
      <c r="J17" s="734"/>
      <c r="K17" s="734"/>
      <c r="L17" s="734"/>
      <c r="M17" s="734"/>
      <c r="N17" s="734"/>
      <c r="O17" s="734"/>
      <c r="P17" s="734"/>
      <c r="Q17" s="734"/>
      <c r="R17" s="746"/>
      <c r="S17" s="746"/>
      <c r="T17" s="746"/>
      <c r="U17" s="746"/>
      <c r="V17" s="746"/>
      <c r="W17" s="746"/>
      <c r="X17" s="746"/>
    </row>
    <row r="18" spans="1:24" ht="43.5" customHeight="1" x14ac:dyDescent="0.25">
      <c r="A18" s="734"/>
      <c r="B18" s="1265" t="s">
        <v>376</v>
      </c>
      <c r="C18" s="1267" t="s">
        <v>389</v>
      </c>
      <c r="D18" s="767" t="str">
        <f>D3</f>
        <v xml:space="preserve">Beräknat inför startbesked </v>
      </c>
      <c r="E18" s="767" t="str">
        <f>E3</f>
        <v>Uppdaterat inför byggstart</v>
      </c>
      <c r="F18" s="767" t="str">
        <f>F3</f>
        <v>Uppdaterad relationshandling (inför slutbesked)</v>
      </c>
      <c r="G18" s="767" t="str">
        <f>G3</f>
        <v>Verifierat genom mätning</v>
      </c>
      <c r="H18" s="734"/>
      <c r="I18" s="734"/>
      <c r="J18" s="734"/>
      <c r="K18" s="734"/>
      <c r="L18" s="734"/>
      <c r="M18" s="734"/>
      <c r="N18" s="734"/>
      <c r="O18" s="734"/>
      <c r="P18" s="734"/>
      <c r="Q18" s="734"/>
      <c r="R18" s="746"/>
      <c r="S18" s="746"/>
      <c r="T18" s="746"/>
      <c r="U18" s="746"/>
      <c r="V18" s="746"/>
      <c r="W18" s="746"/>
      <c r="X18" s="746"/>
    </row>
    <row r="19" spans="1:24" ht="19.5" customHeight="1" thickBot="1" x14ac:dyDescent="0.3">
      <c r="A19" s="734"/>
      <c r="B19" s="1269"/>
      <c r="C19" s="1270"/>
      <c r="D19" s="766" t="s">
        <v>231</v>
      </c>
      <c r="E19" s="762" t="s">
        <v>231</v>
      </c>
      <c r="F19" s="766" t="s">
        <v>231</v>
      </c>
      <c r="G19" s="766" t="s">
        <v>231</v>
      </c>
      <c r="H19" s="734"/>
      <c r="I19" s="734"/>
      <c r="J19" s="734"/>
      <c r="K19" s="734"/>
      <c r="L19" s="734"/>
      <c r="M19" s="734"/>
      <c r="N19" s="734"/>
      <c r="O19" s="734"/>
      <c r="P19" s="734"/>
      <c r="Q19" s="734"/>
      <c r="R19" s="746"/>
      <c r="S19" s="746"/>
      <c r="T19" s="746"/>
      <c r="U19" s="746"/>
      <c r="V19" s="746"/>
      <c r="W19" s="746"/>
      <c r="X19" s="746"/>
    </row>
    <row r="20" spans="1:24" ht="18.75" customHeight="1" x14ac:dyDescent="0.25">
      <c r="A20" s="734"/>
      <c r="B20" s="763">
        <v>12</v>
      </c>
      <c r="C20" s="752" t="s">
        <v>960</v>
      </c>
      <c r="D20" s="748">
        <f>SUM(D15-D6)</f>
        <v>0</v>
      </c>
      <c r="E20" s="747">
        <f>SUM(E15-E6)</f>
        <v>0</v>
      </c>
      <c r="F20" s="748">
        <f>SUM(F15-F6)</f>
        <v>0</v>
      </c>
      <c r="G20" s="748">
        <f>SUM(G15-G6)</f>
        <v>0</v>
      </c>
      <c r="H20" s="734"/>
      <c r="I20" s="734"/>
      <c r="J20" s="734"/>
      <c r="K20" s="734"/>
      <c r="L20" s="734"/>
      <c r="M20" s="734"/>
      <c r="N20" s="734"/>
      <c r="O20" s="734"/>
      <c r="P20" s="734"/>
      <c r="Q20" s="734"/>
      <c r="R20" s="746"/>
      <c r="S20" s="746"/>
      <c r="T20" s="746"/>
      <c r="U20" s="746"/>
      <c r="V20" s="746"/>
      <c r="W20" s="746"/>
      <c r="X20" s="746"/>
    </row>
    <row r="21" spans="1:24" ht="27" customHeight="1" x14ac:dyDescent="0.25">
      <c r="A21" s="734"/>
      <c r="B21" s="764">
        <v>13</v>
      </c>
      <c r="C21" s="752" t="s">
        <v>981</v>
      </c>
      <c r="D21" s="750">
        <f>IFERROR(('B1. Resultat beräkning'!D37+'B1. Resultat beräkning'!D38+'B1. Resultat beräkning'!D39)/'A. Byggnadsinfo med BBR'!D43,0)</f>
        <v>0</v>
      </c>
      <c r="E21" s="750">
        <f>IFERROR(('B1. Resultat beräkning'!E37+'B1. Resultat beräkning'!E38+'B1. Resultat beräkning'!E39)/'A. Byggnadsinfo med BBR'!D43,0)</f>
        <v>0</v>
      </c>
      <c r="F21" s="750">
        <f>IFERROR(('B1. Resultat beräkning'!F37+'B1. Resultat beräkning'!F38+'B1. Resultat beräkning'!F39)/'A. Byggnadsinfo med BBR'!E43,0)</f>
        <v>0</v>
      </c>
      <c r="G21" s="787">
        <f>IF(('C2. Inmatning och verifiering'!R26+'C2. Inmatning och verifiering'!T26+'C2. Inmatning och verifiering'!U26)&gt;0,'C2. Inmatning och verifiering'!AH5,0)</f>
        <v>0</v>
      </c>
      <c r="H21" s="734"/>
      <c r="I21" s="734"/>
      <c r="J21" s="734"/>
      <c r="K21" s="734"/>
      <c r="L21" s="734"/>
      <c r="M21" s="734"/>
      <c r="N21" s="734"/>
      <c r="O21" s="734"/>
      <c r="P21" s="734"/>
      <c r="Q21" s="734"/>
      <c r="R21" s="746"/>
      <c r="S21" s="746"/>
      <c r="T21" s="746"/>
      <c r="U21" s="746"/>
      <c r="V21" s="746"/>
      <c r="W21" s="746"/>
      <c r="X21" s="746"/>
    </row>
    <row r="22" spans="1:24" ht="18.75" customHeight="1" x14ac:dyDescent="0.25">
      <c r="A22" s="734"/>
      <c r="B22" s="764">
        <v>14</v>
      </c>
      <c r="C22" s="788" t="s">
        <v>978</v>
      </c>
      <c r="D22" s="787">
        <f>IFERROR('B1. Resultat beräkning'!D36/'A. Byggnadsinfo med BBR'!D43,0)</f>
        <v>0</v>
      </c>
      <c r="E22" s="787">
        <f>IFERROR('B1. Resultat beräkning'!E36/'A. Byggnadsinfo med BBR'!D43,0)</f>
        <v>0</v>
      </c>
      <c r="F22" s="787">
        <f>IFERROR('B1. Resultat beräkning'!F36/'A. Byggnadsinfo med BBR'!E43,0)</f>
        <v>0</v>
      </c>
      <c r="G22" s="750">
        <f>IF(('C2. Inmatning och verifiering'!S26)&gt;0,'C2. Inmatning och verifiering'!AH5,0)</f>
        <v>0</v>
      </c>
      <c r="H22" s="734"/>
      <c r="I22" s="734"/>
      <c r="J22" s="734"/>
      <c r="K22" s="734"/>
      <c r="L22" s="734"/>
      <c r="M22" s="734"/>
      <c r="N22" s="734"/>
      <c r="O22" s="734"/>
      <c r="P22" s="734"/>
      <c r="Q22" s="734"/>
      <c r="R22" s="746"/>
      <c r="S22" s="746"/>
      <c r="T22" s="746"/>
      <c r="U22" s="746"/>
      <c r="V22" s="746"/>
      <c r="W22" s="746"/>
      <c r="X22" s="746"/>
    </row>
    <row r="23" spans="1:24" ht="18.75" customHeight="1" x14ac:dyDescent="0.25">
      <c r="A23" s="734"/>
      <c r="B23" s="764">
        <v>15</v>
      </c>
      <c r="C23" s="782" t="s">
        <v>979</v>
      </c>
      <c r="D23" s="750">
        <f>IFERROR(('B1. Resultat beräkning'!D28+'B1. Resultat beräkning'!D32)/'A. Byggnadsinfo med BBR'!D43,0)</f>
        <v>0</v>
      </c>
      <c r="E23" s="750">
        <f>IFERROR(('B1. Resultat beräkning'!E28+'B1. Resultat beräkning'!E32)/'A. Byggnadsinfo med BBR'!D43,0)</f>
        <v>0</v>
      </c>
      <c r="F23" s="750">
        <f>IFERROR(('B1. Resultat beräkning'!F28+'B1. Resultat beräkning'!F32)/'A. Byggnadsinfo med BBR'!E43,0)</f>
        <v>0</v>
      </c>
      <c r="G23" s="750">
        <f>IFERROR((PETberäkning!E10)/'A. Byggnadsinfo med BBR'!E43,0)</f>
        <v>0</v>
      </c>
      <c r="H23" s="734"/>
      <c r="I23" s="734"/>
      <c r="J23" s="734"/>
      <c r="K23" s="734"/>
      <c r="L23" s="734"/>
      <c r="M23" s="734"/>
      <c r="N23" s="734"/>
      <c r="O23" s="734"/>
      <c r="P23" s="734"/>
      <c r="Q23" s="734"/>
      <c r="R23" s="746"/>
      <c r="S23" s="746"/>
      <c r="T23" s="746"/>
      <c r="U23" s="746"/>
      <c r="V23" s="746"/>
      <c r="W23" s="746"/>
      <c r="X23" s="746"/>
    </row>
    <row r="24" spans="1:24" ht="27" customHeight="1" x14ac:dyDescent="0.25">
      <c r="A24" s="734"/>
      <c r="B24" s="764">
        <v>16</v>
      </c>
      <c r="C24" s="752" t="s">
        <v>976</v>
      </c>
      <c r="D24" s="768"/>
      <c r="E24" s="768"/>
      <c r="F24" s="768"/>
      <c r="G24" s="787">
        <f>IFERROR('C2. Inmatning och verifiering'!G26/'A. Byggnadsinfo med BBR'!E43,0)</f>
        <v>0</v>
      </c>
      <c r="H24" s="734"/>
      <c r="I24" s="734"/>
      <c r="J24" s="734"/>
      <c r="K24" s="734"/>
      <c r="L24" s="734"/>
      <c r="M24" s="734"/>
      <c r="N24" s="734"/>
      <c r="O24" s="734"/>
      <c r="P24" s="734"/>
      <c r="Q24" s="734"/>
      <c r="R24" s="746"/>
      <c r="S24" s="746"/>
      <c r="T24" s="746"/>
      <c r="U24" s="746"/>
      <c r="V24" s="746"/>
      <c r="W24" s="746"/>
      <c r="X24" s="746"/>
    </row>
    <row r="25" spans="1:24" ht="18" customHeight="1" x14ac:dyDescent="0.25">
      <c r="A25" s="734"/>
      <c r="B25" s="764">
        <v>17</v>
      </c>
      <c r="C25" s="809" t="s">
        <v>980</v>
      </c>
      <c r="D25" s="750">
        <f>IFERROR('B1. Resultat beräkning'!D45/'A. Byggnadsinfo med BBR'!D43,0)</f>
        <v>0</v>
      </c>
      <c r="E25" s="750">
        <f>IFERROR('B1. Resultat beräkning'!E45/'A. Byggnadsinfo med BBR'!D43,0)</f>
        <v>0</v>
      </c>
      <c r="F25" s="750">
        <f>IFERROR('B1. Resultat beräkning'!F45/'A. Byggnadsinfo med BBR'!E43,0)</f>
        <v>0</v>
      </c>
      <c r="G25" s="750">
        <f>IFERROR(('C2. Inmatning och verifiering'!AK26)/'A. Byggnadsinfo med BBR'!E43,0)</f>
        <v>0</v>
      </c>
      <c r="H25" s="734"/>
      <c r="I25" s="734"/>
      <c r="J25" s="734"/>
      <c r="K25" s="734"/>
      <c r="L25" s="734"/>
      <c r="M25" s="734"/>
      <c r="N25" s="734"/>
      <c r="O25" s="734"/>
      <c r="P25" s="734"/>
      <c r="Q25" s="734"/>
      <c r="R25" s="746"/>
      <c r="S25" s="746"/>
      <c r="T25" s="746"/>
      <c r="U25" s="746"/>
      <c r="V25" s="746"/>
      <c r="W25" s="746"/>
      <c r="X25" s="746"/>
    </row>
    <row r="26" spans="1:24" ht="18.75" customHeight="1" x14ac:dyDescent="0.25">
      <c r="A26" s="734"/>
      <c r="B26" s="764">
        <v>18</v>
      </c>
      <c r="C26" s="752" t="s">
        <v>974</v>
      </c>
      <c r="D26" s="750">
        <f>IFERROR('B1. Resultat beräkning'!D40/'A. Byggnadsinfo med BBR'!D43,0)</f>
        <v>0</v>
      </c>
      <c r="E26" s="750">
        <f>IFERROR('B1. Resultat beräkning'!E40/'A. Byggnadsinfo med BBR'!D43,0)</f>
        <v>0</v>
      </c>
      <c r="F26" s="750">
        <f>IFERROR('B1. Resultat beräkning'!F40/'A. Byggnadsinfo med BBR'!E43,0)</f>
        <v>0</v>
      </c>
      <c r="G26" s="750">
        <f>IFERROR(PETberäkning!E22/'A. Byggnadsinfo med BBR'!E43,0)</f>
        <v>0</v>
      </c>
      <c r="H26" s="734"/>
      <c r="I26" s="734"/>
      <c r="J26" s="734"/>
      <c r="K26" s="734"/>
      <c r="L26" s="734"/>
      <c r="M26" s="734"/>
      <c r="N26" s="734"/>
      <c r="O26" s="734"/>
      <c r="P26" s="734"/>
      <c r="Q26" s="734"/>
      <c r="R26" s="746"/>
      <c r="S26" s="746"/>
      <c r="T26" s="746"/>
      <c r="U26" s="746"/>
      <c r="V26" s="746"/>
      <c r="W26" s="746"/>
      <c r="X26" s="746"/>
    </row>
    <row r="27" spans="1:24" ht="18.75" customHeight="1" x14ac:dyDescent="0.25">
      <c r="A27" s="734"/>
      <c r="B27" s="764">
        <v>19</v>
      </c>
      <c r="C27" s="752" t="s">
        <v>982</v>
      </c>
      <c r="D27" s="750">
        <f>IFERROR('B1. Resultat beräkning'!D41/'A. Byggnadsinfo med BBR'!D43,0)</f>
        <v>0</v>
      </c>
      <c r="E27" s="750">
        <f>IFERROR('B1. Resultat beräkning'!E41/'A. Byggnadsinfo med BBR'!D43,0)</f>
        <v>0</v>
      </c>
      <c r="F27" s="750">
        <f>IFERROR('B1. Resultat beräkning'!F41/'A. Byggnadsinfo med BBR'!E43,0)</f>
        <v>0</v>
      </c>
      <c r="G27" s="750">
        <f>IFERROR(PETberäkning!E23/'A. Byggnadsinfo med BBR'!E43,0)</f>
        <v>0</v>
      </c>
      <c r="H27" s="734"/>
      <c r="I27" s="734"/>
      <c r="J27" s="734"/>
      <c r="K27" s="734"/>
      <c r="L27" s="734"/>
      <c r="M27" s="734"/>
      <c r="N27" s="734"/>
      <c r="O27" s="734"/>
      <c r="P27" s="734"/>
      <c r="Q27" s="734"/>
      <c r="R27" s="746"/>
      <c r="S27" s="746"/>
      <c r="T27" s="746"/>
      <c r="U27" s="746"/>
      <c r="V27" s="746"/>
      <c r="W27" s="746"/>
      <c r="X27" s="746"/>
    </row>
    <row r="28" spans="1:24" ht="18.75" customHeight="1" thickBot="1" x14ac:dyDescent="0.3">
      <c r="A28" s="734"/>
      <c r="B28" s="786">
        <v>20</v>
      </c>
      <c r="C28" s="785" t="s">
        <v>977</v>
      </c>
      <c r="D28" s="749">
        <f>IFERROR('B1. Resultat beräkning'!D17+'B1. Resultat beräkning'!D8,0)</f>
        <v>0</v>
      </c>
      <c r="E28" s="749">
        <f>IFERROR('B1. Resultat beräkning'!E17+'B1. Resultat beräkning'!E8,0)</f>
        <v>0</v>
      </c>
      <c r="F28" s="749">
        <f>IFERROR('B1. Resultat beräkning'!F17+'B1. Resultat beräkning'!F8,0)</f>
        <v>0</v>
      </c>
      <c r="G28" s="750">
        <f>IFERROR(('C2. Inmatning och verifiering'!AM26+'C2. Inmatning och verifiering'!AG26)/'A. Byggnadsinfo med BBR'!E43,0)</f>
        <v>0</v>
      </c>
      <c r="H28" s="734" t="s">
        <v>387</v>
      </c>
      <c r="I28" s="734"/>
      <c r="J28" s="734"/>
      <c r="K28" s="734"/>
      <c r="L28" s="734"/>
      <c r="M28" s="734"/>
      <c r="N28" s="734"/>
      <c r="O28" s="734"/>
      <c r="P28" s="734"/>
      <c r="Q28" s="734"/>
      <c r="R28" s="746"/>
      <c r="S28" s="746"/>
      <c r="T28" s="746"/>
      <c r="U28" s="746"/>
      <c r="V28" s="746"/>
      <c r="W28" s="746"/>
      <c r="X28" s="746"/>
    </row>
    <row r="29" spans="1:24" ht="25.5" customHeight="1" thickBot="1" x14ac:dyDescent="0.3">
      <c r="A29" s="734"/>
      <c r="B29" s="757"/>
      <c r="C29" s="778" t="s">
        <v>395</v>
      </c>
      <c r="D29" s="779">
        <f>D20+D21+D22+D23+D25+D26+D27+D28</f>
        <v>0</v>
      </c>
      <c r="E29" s="779">
        <f t="shared" ref="E29:F29" si="0">E20+E21+E22+E23+E25+E26+E27+E28</f>
        <v>0</v>
      </c>
      <c r="F29" s="779">
        <f t="shared" si="0"/>
        <v>0</v>
      </c>
      <c r="G29" s="751">
        <f>IF(G24&gt;0,G24+G20+G21+G25+G26+G27+G28,G20+G21+G22+G23+G25+G26+G27+G28)</f>
        <v>0</v>
      </c>
      <c r="H29" s="734"/>
      <c r="I29" s="734"/>
      <c r="J29" s="734"/>
      <c r="K29" s="734"/>
      <c r="L29" s="734"/>
      <c r="M29" s="734"/>
      <c r="N29" s="734"/>
      <c r="O29" s="734"/>
      <c r="P29" s="734"/>
      <c r="Q29" s="734"/>
      <c r="R29" s="746"/>
      <c r="S29" s="746"/>
      <c r="T29" s="746"/>
      <c r="U29" s="746"/>
      <c r="V29" s="746"/>
      <c r="W29" s="746"/>
      <c r="X29" s="746"/>
    </row>
    <row r="30" spans="1:24" ht="18.75" customHeight="1" thickBot="1" x14ac:dyDescent="0.3">
      <c r="A30" s="734"/>
      <c r="B30" s="757"/>
      <c r="C30" s="783"/>
      <c r="D30" s="790"/>
      <c r="E30" s="790"/>
      <c r="F30" s="790"/>
      <c r="G30" s="791"/>
      <c r="H30" s="734"/>
      <c r="I30" s="734"/>
      <c r="J30" s="734"/>
      <c r="K30" s="734"/>
      <c r="L30" s="734"/>
      <c r="M30" s="734"/>
      <c r="N30" s="734"/>
      <c r="O30" s="734"/>
      <c r="P30" s="734"/>
      <c r="Q30" s="734"/>
      <c r="R30" s="746"/>
      <c r="S30" s="746"/>
      <c r="T30" s="746"/>
      <c r="U30" s="746"/>
      <c r="V30" s="746"/>
      <c r="W30" s="746"/>
      <c r="X30" s="746"/>
    </row>
    <row r="31" spans="1:24" ht="18.75" customHeight="1" thickBot="1" x14ac:dyDescent="0.3">
      <c r="A31" s="734"/>
      <c r="B31" s="780"/>
      <c r="C31" s="761" t="s">
        <v>975</v>
      </c>
      <c r="D31" s="784"/>
      <c r="E31" s="784"/>
      <c r="F31" s="759"/>
      <c r="G31" s="759"/>
      <c r="H31" s="734"/>
      <c r="I31" s="734"/>
      <c r="J31" s="734"/>
      <c r="K31" s="734"/>
      <c r="L31" s="734"/>
      <c r="M31" s="734"/>
      <c r="N31" s="734"/>
      <c r="O31" s="734"/>
      <c r="P31" s="734"/>
      <c r="Q31" s="734"/>
      <c r="R31" s="746"/>
      <c r="S31" s="746"/>
      <c r="T31" s="746"/>
      <c r="U31" s="746"/>
      <c r="V31" s="746"/>
      <c r="W31" s="746"/>
      <c r="X31" s="746"/>
    </row>
    <row r="32" spans="1:24" ht="18.75" customHeight="1" x14ac:dyDescent="0.25">
      <c r="A32" s="734"/>
      <c r="B32" s="764">
        <v>21</v>
      </c>
      <c r="C32" s="777" t="s">
        <v>392</v>
      </c>
      <c r="D32" s="749">
        <f>IFERROR('B1. Resultat beräkning'!D32/'A. Byggnadsinfo med BBR'!D43,0)</f>
        <v>0</v>
      </c>
      <c r="E32" s="749">
        <f>IFERROR('B1. Resultat beräkning'!E32/'A. Byggnadsinfo med BBR'!D43,0)</f>
        <v>0</v>
      </c>
      <c r="F32" s="749">
        <f>IFERROR('B1. Resultat beräkning'!F32/'A. Byggnadsinfo med BBR'!E43,0)</f>
        <v>0</v>
      </c>
      <c r="G32" s="750">
        <f>IFERROR('C2. Inmatning och verifiering'!N26/'A. Byggnadsinfo med BBR'!E43,0)</f>
        <v>0</v>
      </c>
      <c r="H32" s="734"/>
      <c r="I32" s="734"/>
      <c r="J32" s="734"/>
      <c r="K32" s="734"/>
      <c r="L32" s="734"/>
      <c r="M32" s="734"/>
      <c r="N32" s="734"/>
      <c r="O32" s="734"/>
      <c r="P32" s="734"/>
      <c r="Q32" s="734"/>
      <c r="R32" s="746"/>
      <c r="S32" s="746"/>
      <c r="T32" s="746"/>
      <c r="U32" s="746"/>
      <c r="V32" s="746"/>
      <c r="W32" s="746"/>
      <c r="X32" s="746"/>
    </row>
    <row r="33" spans="1:24" ht="18.75" customHeight="1" x14ac:dyDescent="0.25">
      <c r="A33" s="734"/>
      <c r="B33" s="764">
        <v>22</v>
      </c>
      <c r="C33" s="777" t="s">
        <v>391</v>
      </c>
      <c r="D33" s="821"/>
      <c r="E33" s="822"/>
      <c r="F33" s="822"/>
      <c r="G33" s="822"/>
      <c r="H33" s="734"/>
      <c r="I33" s="734"/>
      <c r="J33" s="734"/>
      <c r="K33" s="734"/>
      <c r="L33" s="734"/>
      <c r="M33" s="734"/>
      <c r="N33" s="734"/>
      <c r="O33" s="734"/>
      <c r="P33" s="734"/>
      <c r="Q33" s="734"/>
      <c r="R33" s="746"/>
      <c r="S33" s="746"/>
      <c r="T33" s="746"/>
      <c r="U33" s="746"/>
      <c r="V33" s="746"/>
      <c r="W33" s="746"/>
      <c r="X33" s="746"/>
    </row>
    <row r="34" spans="1:24" ht="18.75" customHeight="1" x14ac:dyDescent="0.25">
      <c r="A34" s="734"/>
      <c r="B34" s="764">
        <v>23</v>
      </c>
      <c r="C34" s="776" t="s">
        <v>390</v>
      </c>
      <c r="D34" s="821"/>
      <c r="E34" s="822"/>
      <c r="F34" s="822"/>
      <c r="G34" s="822"/>
      <c r="H34" s="734"/>
      <c r="I34" s="734"/>
      <c r="J34" s="734"/>
      <c r="K34" s="734"/>
      <c r="L34" s="734"/>
      <c r="M34" s="734"/>
      <c r="N34" s="734"/>
      <c r="O34" s="734"/>
      <c r="P34" s="734"/>
      <c r="Q34" s="734"/>
      <c r="R34" s="746"/>
      <c r="S34" s="746"/>
      <c r="T34" s="746"/>
      <c r="U34" s="746"/>
      <c r="V34" s="746"/>
      <c r="W34" s="746"/>
      <c r="X34" s="746"/>
    </row>
    <row r="35" spans="1:24" ht="18.75" customHeight="1" x14ac:dyDescent="0.25">
      <c r="A35" s="734"/>
      <c r="B35" s="764">
        <v>24</v>
      </c>
      <c r="C35" s="777" t="s">
        <v>393</v>
      </c>
      <c r="D35" s="821"/>
      <c r="E35" s="822"/>
      <c r="F35" s="822"/>
      <c r="G35" s="822"/>
      <c r="H35" s="734"/>
      <c r="I35" s="734"/>
      <c r="J35" s="734"/>
      <c r="K35" s="734"/>
      <c r="L35" s="734"/>
      <c r="M35" s="734"/>
      <c r="N35" s="734"/>
      <c r="O35" s="734"/>
      <c r="P35" s="734"/>
      <c r="Q35" s="734"/>
      <c r="R35" s="746"/>
      <c r="S35" s="746"/>
      <c r="T35" s="746"/>
      <c r="U35" s="746"/>
      <c r="V35" s="746"/>
      <c r="W35" s="746"/>
      <c r="X35" s="746"/>
    </row>
    <row r="36" spans="1:24" ht="18.75" customHeight="1" x14ac:dyDescent="0.25">
      <c r="A36" s="734"/>
      <c r="B36" s="764">
        <v>25</v>
      </c>
      <c r="C36" s="789" t="s">
        <v>394</v>
      </c>
      <c r="D36" s="823"/>
      <c r="E36" s="824"/>
      <c r="F36" s="824"/>
      <c r="G36" s="824"/>
      <c r="H36" s="734"/>
      <c r="I36" s="734" t="s">
        <v>387</v>
      </c>
      <c r="J36" s="734"/>
      <c r="K36" s="734"/>
      <c r="L36" s="734"/>
      <c r="M36" s="734"/>
      <c r="N36" s="734"/>
      <c r="O36" s="734"/>
      <c r="P36" s="734"/>
      <c r="Q36" s="734"/>
      <c r="R36" s="746"/>
      <c r="S36" s="746"/>
      <c r="T36" s="746"/>
      <c r="U36" s="746"/>
      <c r="V36" s="746"/>
      <c r="W36" s="746"/>
      <c r="X36" s="746"/>
    </row>
    <row r="37" spans="1:24" ht="18.75" customHeight="1" thickBot="1" x14ac:dyDescent="0.3">
      <c r="A37" s="734"/>
      <c r="B37" s="764">
        <v>26</v>
      </c>
      <c r="C37" s="776" t="s">
        <v>967</v>
      </c>
      <c r="D37" s="821"/>
      <c r="E37" s="822"/>
      <c r="F37" s="822"/>
      <c r="G37" s="822"/>
      <c r="H37" s="734"/>
      <c r="I37" s="734"/>
      <c r="J37" s="734"/>
      <c r="K37" s="734"/>
      <c r="L37" s="734"/>
      <c r="M37" s="734"/>
      <c r="N37" s="734"/>
      <c r="O37" s="734"/>
      <c r="P37" s="734"/>
      <c r="Q37" s="734"/>
      <c r="R37" s="746"/>
      <c r="S37" s="746"/>
      <c r="T37" s="746"/>
      <c r="U37" s="746"/>
      <c r="V37" s="746"/>
      <c r="W37" s="746"/>
      <c r="X37" s="746"/>
    </row>
    <row r="38" spans="1:24" ht="18.75" customHeight="1" thickBot="1" x14ac:dyDescent="0.3">
      <c r="A38" s="734"/>
      <c r="B38" s="758"/>
      <c r="C38" s="761" t="s">
        <v>965</v>
      </c>
      <c r="D38" s="769"/>
      <c r="E38" s="760"/>
      <c r="F38" s="760"/>
      <c r="G38" s="760"/>
      <c r="H38" s="734"/>
      <c r="I38" s="734"/>
      <c r="J38" s="734"/>
      <c r="K38" s="734"/>
      <c r="L38" s="734"/>
      <c r="M38" s="734"/>
      <c r="N38" s="734"/>
      <c r="O38" s="734"/>
      <c r="P38" s="734"/>
      <c r="Q38" s="734"/>
      <c r="R38" s="746"/>
      <c r="S38" s="746"/>
      <c r="T38" s="746"/>
      <c r="U38" s="746"/>
      <c r="V38" s="746"/>
      <c r="W38" s="746"/>
      <c r="X38" s="746"/>
    </row>
    <row r="39" spans="1:24" ht="18" customHeight="1" x14ac:dyDescent="0.25">
      <c r="A39" s="734"/>
      <c r="B39" s="763">
        <v>27</v>
      </c>
      <c r="C39" s="792" t="s">
        <v>964</v>
      </c>
      <c r="D39" s="817"/>
      <c r="E39" s="818" t="s">
        <v>17</v>
      </c>
      <c r="F39" s="818"/>
      <c r="G39" s="818"/>
      <c r="H39" s="734"/>
      <c r="I39" s="734"/>
      <c r="J39" s="734"/>
      <c r="K39" s="734"/>
      <c r="L39" s="734"/>
      <c r="M39" s="734"/>
      <c r="N39" s="734"/>
      <c r="O39" s="734"/>
      <c r="P39" s="734"/>
      <c r="Q39" s="734"/>
      <c r="R39" s="746"/>
      <c r="S39" s="746"/>
      <c r="T39" s="746"/>
      <c r="U39" s="746"/>
      <c r="V39" s="746"/>
      <c r="W39" s="746"/>
      <c r="X39" s="746"/>
    </row>
    <row r="40" spans="1:24" s="746" customFormat="1" ht="18.75" customHeight="1" x14ac:dyDescent="0.25">
      <c r="B40" s="764">
        <v>28</v>
      </c>
      <c r="C40" s="777" t="s">
        <v>963</v>
      </c>
      <c r="D40" s="815"/>
      <c r="E40" s="816" t="s">
        <v>17</v>
      </c>
      <c r="F40" s="816"/>
      <c r="G40" s="816"/>
    </row>
    <row r="41" spans="1:24" ht="19.5" customHeight="1" x14ac:dyDescent="0.25">
      <c r="A41" s="734"/>
      <c r="B41" s="764">
        <v>29</v>
      </c>
      <c r="C41" s="776" t="s">
        <v>962</v>
      </c>
      <c r="D41" s="814"/>
      <c r="E41" s="813"/>
      <c r="F41" s="813"/>
      <c r="G41" s="813"/>
      <c r="H41" s="734"/>
      <c r="I41" s="734"/>
      <c r="J41" s="734"/>
      <c r="K41" s="734"/>
      <c r="L41" s="734"/>
      <c r="M41" s="734"/>
      <c r="N41" s="734"/>
      <c r="O41" s="734"/>
      <c r="P41" s="734"/>
      <c r="Q41" s="734"/>
      <c r="R41" s="746"/>
      <c r="S41" s="746"/>
      <c r="T41" s="746"/>
      <c r="U41" s="746"/>
      <c r="V41" s="746"/>
      <c r="W41" s="746"/>
      <c r="X41" s="746"/>
    </row>
    <row r="42" spans="1:24" ht="18.75" customHeight="1" x14ac:dyDescent="0.25">
      <c r="A42" s="734"/>
      <c r="B42" s="764">
        <v>30</v>
      </c>
      <c r="C42" s="776" t="s">
        <v>961</v>
      </c>
      <c r="D42" s="814"/>
      <c r="E42" s="813"/>
      <c r="F42" s="813"/>
      <c r="G42" s="813"/>
      <c r="H42" s="734"/>
      <c r="I42" s="734"/>
      <c r="J42" s="734"/>
      <c r="K42" s="734"/>
      <c r="L42" s="734"/>
      <c r="M42" s="734"/>
      <c r="N42" s="734"/>
      <c r="O42" s="734"/>
      <c r="P42" s="734"/>
      <c r="Q42" s="734"/>
      <c r="R42" s="746"/>
      <c r="S42" s="746"/>
      <c r="T42" s="746"/>
      <c r="U42" s="746"/>
      <c r="V42" s="746"/>
      <c r="W42" s="746"/>
      <c r="X42" s="746"/>
    </row>
    <row r="43" spans="1:24" ht="18.75" customHeight="1" thickBot="1" x14ac:dyDescent="0.3">
      <c r="A43" s="734"/>
      <c r="B43" s="765">
        <v>31</v>
      </c>
      <c r="C43" s="793" t="s">
        <v>966</v>
      </c>
      <c r="D43" s="819"/>
      <c r="E43" s="820"/>
      <c r="F43" s="820"/>
      <c r="G43" s="820"/>
      <c r="H43" s="734"/>
      <c r="I43" s="734"/>
      <c r="J43" s="734"/>
      <c r="K43" s="734"/>
      <c r="L43" s="734"/>
      <c r="M43" s="734"/>
      <c r="N43" s="734"/>
      <c r="O43" s="734"/>
      <c r="P43" s="734"/>
      <c r="Q43" s="734"/>
      <c r="R43" s="746"/>
      <c r="S43" s="746"/>
      <c r="T43" s="746"/>
      <c r="U43" s="746"/>
      <c r="V43" s="746"/>
      <c r="W43" s="746"/>
      <c r="X43" s="746"/>
    </row>
    <row r="44" spans="1:24" s="746" customFormat="1" x14ac:dyDescent="0.25"/>
    <row r="45" spans="1:24" ht="106.5" customHeight="1" x14ac:dyDescent="0.25">
      <c r="A45" s="734"/>
      <c r="B45" s="746"/>
      <c r="C45" s="746"/>
      <c r="D45" s="746"/>
      <c r="E45" s="746"/>
      <c r="F45" s="746"/>
      <c r="G45" s="746"/>
      <c r="H45" s="746"/>
      <c r="I45" s="746"/>
      <c r="J45" s="746"/>
      <c r="K45" s="734"/>
      <c r="L45" s="734"/>
      <c r="M45" s="734"/>
      <c r="N45" s="734"/>
      <c r="O45" s="734"/>
      <c r="P45" s="734"/>
      <c r="Q45" s="734"/>
      <c r="R45" s="746"/>
      <c r="S45" s="746"/>
      <c r="T45" s="746"/>
      <c r="U45" s="746"/>
      <c r="V45" s="746"/>
      <c r="W45" s="746"/>
      <c r="X45" s="746"/>
    </row>
    <row r="46" spans="1:24" x14ac:dyDescent="0.25">
      <c r="A46" s="734"/>
      <c r="B46" s="735"/>
      <c r="C46" s="735"/>
      <c r="D46" s="735"/>
      <c r="E46" s="735"/>
      <c r="F46" s="735"/>
      <c r="G46" s="735"/>
      <c r="H46" s="735"/>
      <c r="I46" s="735"/>
      <c r="J46" s="735"/>
      <c r="K46" s="735"/>
      <c r="L46" s="735"/>
      <c r="M46" s="735"/>
      <c r="N46" s="734"/>
      <c r="O46" s="734"/>
      <c r="P46" s="734"/>
      <c r="Q46" s="734"/>
      <c r="R46" s="746"/>
      <c r="S46" s="746"/>
      <c r="T46" s="746"/>
      <c r="U46" s="746"/>
      <c r="V46" s="746"/>
      <c r="W46" s="746"/>
      <c r="X46" s="746"/>
    </row>
    <row r="47" spans="1:24" x14ac:dyDescent="0.25">
      <c r="A47" s="734"/>
      <c r="B47" s="735"/>
      <c r="C47" s="735"/>
      <c r="D47" s="735"/>
      <c r="E47" s="735"/>
      <c r="F47" s="735"/>
      <c r="G47" s="735"/>
      <c r="H47" s="735"/>
      <c r="I47" s="735"/>
      <c r="J47" s="735"/>
      <c r="K47" s="735"/>
      <c r="L47" s="735"/>
      <c r="M47" s="735"/>
      <c r="N47" s="734"/>
      <c r="O47" s="734"/>
      <c r="P47" s="734"/>
      <c r="Q47" s="734"/>
      <c r="R47" s="746"/>
      <c r="S47" s="746"/>
      <c r="T47" s="746"/>
      <c r="U47" s="746"/>
      <c r="V47" s="746"/>
      <c r="W47" s="746"/>
      <c r="X47" s="746"/>
    </row>
    <row r="48" spans="1:24" x14ac:dyDescent="0.25">
      <c r="A48" s="734"/>
      <c r="B48" s="735"/>
      <c r="C48" s="735"/>
      <c r="D48" s="735"/>
      <c r="E48" s="735"/>
      <c r="F48" s="735"/>
      <c r="G48" s="735"/>
      <c r="H48" s="735"/>
      <c r="I48" s="735"/>
      <c r="J48" s="735"/>
      <c r="K48" s="735"/>
      <c r="L48" s="735"/>
      <c r="M48" s="735"/>
      <c r="N48" s="734"/>
      <c r="O48" s="734"/>
      <c r="P48" s="734"/>
      <c r="Q48" s="734"/>
      <c r="R48" s="735"/>
      <c r="S48" s="735"/>
      <c r="T48" s="734"/>
      <c r="U48" s="734"/>
      <c r="V48" s="734"/>
      <c r="W48" s="734"/>
      <c r="X48" s="734"/>
    </row>
    <row r="49" spans="1:24" x14ac:dyDescent="0.25">
      <c r="A49" s="734"/>
      <c r="B49" s="735"/>
      <c r="C49" s="735"/>
      <c r="D49" s="734"/>
      <c r="E49" s="734"/>
      <c r="F49" s="734"/>
      <c r="G49" s="734"/>
      <c r="H49" s="734"/>
      <c r="I49" s="734"/>
      <c r="J49" s="734"/>
      <c r="K49" s="734"/>
      <c r="L49" s="734"/>
      <c r="M49" s="734"/>
      <c r="N49" s="734"/>
      <c r="O49" s="734"/>
      <c r="P49" s="734"/>
      <c r="Q49" s="734"/>
      <c r="R49" s="735"/>
      <c r="S49" s="735"/>
      <c r="T49" s="734"/>
      <c r="U49" s="734"/>
      <c r="V49" s="734"/>
      <c r="W49" s="734"/>
      <c r="X49" s="734"/>
    </row>
    <row r="50" spans="1:24" x14ac:dyDescent="0.25">
      <c r="A50" s="734"/>
      <c r="B50" s="735"/>
      <c r="C50" s="735"/>
      <c r="D50" s="734"/>
      <c r="E50" s="734"/>
      <c r="F50" s="734"/>
      <c r="G50" s="734"/>
      <c r="H50" s="734"/>
      <c r="I50" s="734"/>
      <c r="J50" s="734"/>
      <c r="K50" s="734"/>
      <c r="L50" s="734"/>
      <c r="M50" s="734"/>
      <c r="N50" s="734"/>
      <c r="O50" s="734"/>
      <c r="P50" s="734"/>
      <c r="Q50" s="734"/>
      <c r="R50" s="735"/>
      <c r="S50" s="735"/>
      <c r="T50" s="734"/>
      <c r="U50" s="734"/>
      <c r="V50" s="734"/>
      <c r="W50" s="734"/>
      <c r="X50" s="734"/>
    </row>
    <row r="51" spans="1:24" x14ac:dyDescent="0.25">
      <c r="A51" s="734"/>
      <c r="B51" s="735"/>
      <c r="C51" s="735"/>
      <c r="D51" s="734"/>
      <c r="E51" s="734"/>
      <c r="F51" s="734"/>
      <c r="G51" s="734"/>
      <c r="H51" s="734"/>
      <c r="I51" s="734"/>
      <c r="J51" s="734"/>
      <c r="K51" s="734"/>
      <c r="L51" s="734"/>
      <c r="M51" s="734"/>
      <c r="N51" s="734"/>
      <c r="O51" s="734"/>
      <c r="P51" s="734"/>
      <c r="Q51" s="734"/>
      <c r="R51" s="735"/>
      <c r="S51" s="735"/>
      <c r="T51" s="734"/>
      <c r="U51" s="734"/>
      <c r="V51" s="734"/>
      <c r="W51" s="734"/>
      <c r="X51" s="734"/>
    </row>
    <row r="52" spans="1:24" x14ac:dyDescent="0.25">
      <c r="A52" s="734"/>
      <c r="B52" s="735"/>
      <c r="C52" s="735"/>
      <c r="D52" s="734"/>
      <c r="E52" s="734"/>
      <c r="F52" s="734"/>
      <c r="G52" s="734"/>
      <c r="H52" s="734"/>
      <c r="I52" s="734"/>
      <c r="J52" s="734"/>
      <c r="K52" s="734"/>
      <c r="L52" s="734"/>
      <c r="M52" s="734"/>
      <c r="N52" s="734"/>
      <c r="O52" s="734"/>
      <c r="P52" s="734"/>
      <c r="Q52" s="734"/>
      <c r="R52" s="735"/>
      <c r="S52" s="735"/>
      <c r="T52" s="734"/>
      <c r="U52" s="734"/>
      <c r="V52" s="734"/>
      <c r="W52" s="734"/>
      <c r="X52" s="734"/>
    </row>
    <row r="53" spans="1:24" x14ac:dyDescent="0.25">
      <c r="A53" s="734"/>
      <c r="B53" s="735"/>
      <c r="C53" s="735"/>
      <c r="D53" s="734"/>
      <c r="E53" s="734"/>
      <c r="F53" s="734"/>
      <c r="G53" s="734"/>
      <c r="H53" s="734"/>
      <c r="I53" s="734"/>
      <c r="J53" s="734"/>
      <c r="K53" s="734"/>
      <c r="L53" s="734"/>
      <c r="M53" s="734"/>
      <c r="N53" s="734"/>
      <c r="O53" s="734"/>
      <c r="P53" s="734"/>
      <c r="Q53" s="734"/>
      <c r="R53" s="735"/>
      <c r="S53" s="735"/>
      <c r="T53" s="734"/>
      <c r="U53" s="734"/>
      <c r="V53" s="734"/>
      <c r="W53" s="734"/>
      <c r="X53" s="734"/>
    </row>
    <row r="54" spans="1:24" x14ac:dyDescent="0.25">
      <c r="A54" s="734"/>
      <c r="B54" s="735"/>
      <c r="C54" s="735"/>
      <c r="D54" s="734"/>
      <c r="E54" s="734"/>
      <c r="F54" s="734"/>
      <c r="G54" s="734"/>
      <c r="H54" s="734"/>
      <c r="I54" s="734"/>
      <c r="J54" s="734"/>
      <c r="K54" s="734"/>
      <c r="L54" s="734"/>
      <c r="M54" s="734"/>
      <c r="N54" s="734"/>
      <c r="O54" s="734"/>
      <c r="P54" s="734"/>
      <c r="Q54" s="734"/>
      <c r="R54" s="735"/>
      <c r="S54" s="735"/>
      <c r="T54" s="734"/>
      <c r="U54" s="734"/>
      <c r="V54" s="734"/>
      <c r="W54" s="734"/>
      <c r="X54" s="734"/>
    </row>
    <row r="55" spans="1:24" x14ac:dyDescent="0.25">
      <c r="A55" s="734"/>
      <c r="B55" s="735"/>
      <c r="C55" s="735"/>
      <c r="D55" s="734"/>
      <c r="E55" s="734"/>
      <c r="F55" s="734"/>
      <c r="G55" s="734"/>
      <c r="H55" s="734"/>
      <c r="I55" s="734"/>
      <c r="J55" s="734"/>
      <c r="K55" s="734"/>
      <c r="L55" s="734"/>
      <c r="M55" s="734"/>
      <c r="N55" s="734"/>
      <c r="O55" s="734"/>
      <c r="P55" s="734"/>
      <c r="Q55" s="734"/>
      <c r="R55" s="735"/>
      <c r="S55" s="735"/>
      <c r="T55" s="734"/>
      <c r="U55" s="734"/>
      <c r="V55" s="734"/>
      <c r="W55" s="734"/>
      <c r="X55" s="734"/>
    </row>
    <row r="56" spans="1:24" x14ac:dyDescent="0.25">
      <c r="A56" s="734"/>
      <c r="B56" s="735"/>
      <c r="C56" s="735"/>
      <c r="D56" s="734"/>
      <c r="E56" s="734"/>
      <c r="F56" s="734"/>
      <c r="G56" s="734"/>
      <c r="H56" s="734"/>
      <c r="I56" s="734"/>
      <c r="J56" s="734"/>
      <c r="K56" s="734"/>
      <c r="L56" s="734"/>
      <c r="M56" s="734"/>
      <c r="N56" s="734"/>
      <c r="O56" s="734"/>
      <c r="P56" s="734"/>
      <c r="Q56" s="734"/>
      <c r="R56" s="735"/>
      <c r="S56" s="735"/>
      <c r="T56" s="734"/>
      <c r="U56" s="734"/>
      <c r="V56" s="734"/>
      <c r="W56" s="734"/>
      <c r="X56" s="734"/>
    </row>
    <row r="57" spans="1:24" x14ac:dyDescent="0.25">
      <c r="A57" s="734"/>
      <c r="B57" s="735"/>
      <c r="C57" s="735"/>
      <c r="D57" s="734"/>
      <c r="E57" s="734"/>
      <c r="F57" s="734"/>
      <c r="G57" s="734"/>
      <c r="H57" s="734"/>
      <c r="I57" s="734"/>
      <c r="J57" s="734"/>
      <c r="K57" s="734"/>
      <c r="L57" s="734"/>
      <c r="M57" s="734"/>
      <c r="N57" s="734"/>
      <c r="O57" s="734"/>
      <c r="P57" s="734"/>
      <c r="Q57" s="734"/>
      <c r="R57" s="735"/>
      <c r="S57" s="735"/>
      <c r="T57" s="734"/>
      <c r="U57" s="734"/>
      <c r="V57" s="734"/>
      <c r="W57" s="734"/>
      <c r="X57" s="734"/>
    </row>
    <row r="58" spans="1:24" x14ac:dyDescent="0.25">
      <c r="A58" s="734"/>
      <c r="B58" s="735"/>
      <c r="C58" s="735"/>
      <c r="D58" s="734"/>
      <c r="E58" s="734"/>
      <c r="F58" s="734"/>
      <c r="G58" s="734"/>
      <c r="H58" s="734"/>
      <c r="I58" s="734"/>
      <c r="J58" s="734"/>
      <c r="K58" s="734"/>
      <c r="L58" s="734"/>
      <c r="M58" s="734"/>
      <c r="N58" s="734"/>
      <c r="O58" s="734"/>
      <c r="P58" s="734"/>
      <c r="Q58" s="734"/>
      <c r="R58" s="735"/>
      <c r="S58" s="735"/>
      <c r="T58" s="734"/>
      <c r="U58" s="734"/>
      <c r="V58" s="734"/>
      <c r="W58" s="734"/>
      <c r="X58" s="734"/>
    </row>
    <row r="59" spans="1:24" x14ac:dyDescent="0.25">
      <c r="A59" s="734"/>
      <c r="B59" s="735"/>
      <c r="C59" s="735"/>
      <c r="D59" s="734"/>
      <c r="E59" s="734"/>
      <c r="F59" s="734"/>
      <c r="G59" s="734"/>
      <c r="H59" s="734"/>
      <c r="I59" s="734"/>
      <c r="J59" s="734"/>
      <c r="K59" s="734"/>
      <c r="L59" s="734"/>
      <c r="M59" s="734"/>
      <c r="N59" s="734"/>
      <c r="O59" s="734"/>
      <c r="P59" s="734"/>
      <c r="Q59" s="734"/>
      <c r="R59" s="735"/>
      <c r="S59" s="735"/>
      <c r="T59" s="734"/>
      <c r="U59" s="734"/>
      <c r="V59" s="734"/>
      <c r="W59" s="734"/>
      <c r="X59" s="734"/>
    </row>
    <row r="60" spans="1:24" x14ac:dyDescent="0.25">
      <c r="A60" s="734"/>
      <c r="B60" s="735"/>
      <c r="C60" s="735"/>
      <c r="D60" s="734"/>
      <c r="E60" s="734"/>
      <c r="F60" s="734"/>
      <c r="G60" s="734"/>
      <c r="H60" s="734"/>
      <c r="I60" s="734"/>
      <c r="J60" s="734"/>
      <c r="K60" s="734"/>
      <c r="L60" s="734"/>
      <c r="M60" s="734"/>
      <c r="N60" s="734"/>
      <c r="O60" s="734"/>
      <c r="P60" s="734"/>
      <c r="Q60" s="734"/>
      <c r="R60" s="735"/>
      <c r="S60" s="735"/>
      <c r="T60" s="734"/>
      <c r="U60" s="734"/>
      <c r="V60" s="734"/>
      <c r="W60" s="734"/>
      <c r="X60" s="734"/>
    </row>
    <row r="61" spans="1:24" x14ac:dyDescent="0.25">
      <c r="A61" s="734"/>
      <c r="B61" s="735"/>
      <c r="C61" s="735"/>
      <c r="D61" s="734"/>
      <c r="E61" s="734"/>
      <c r="F61" s="734"/>
      <c r="G61" s="734"/>
      <c r="H61" s="734"/>
      <c r="I61" s="734"/>
      <c r="J61" s="734"/>
      <c r="K61" s="734"/>
      <c r="L61" s="734"/>
      <c r="M61" s="734"/>
      <c r="N61" s="734"/>
      <c r="O61" s="734"/>
      <c r="P61" s="734"/>
      <c r="Q61" s="734"/>
      <c r="R61" s="735"/>
      <c r="S61" s="735"/>
      <c r="T61" s="734"/>
      <c r="U61" s="734"/>
      <c r="V61" s="734"/>
      <c r="W61" s="734"/>
      <c r="X61" s="734"/>
    </row>
    <row r="62" spans="1:24" x14ac:dyDescent="0.25">
      <c r="A62" s="734"/>
      <c r="B62" s="735"/>
      <c r="C62" s="735"/>
      <c r="D62" s="734"/>
      <c r="E62" s="734"/>
      <c r="F62" s="734"/>
      <c r="G62" s="734"/>
      <c r="H62" s="734"/>
      <c r="I62" s="734"/>
      <c r="J62" s="734"/>
      <c r="K62" s="734"/>
      <c r="L62" s="734"/>
      <c r="M62" s="734"/>
      <c r="N62" s="734"/>
      <c r="O62" s="734"/>
      <c r="P62" s="734"/>
      <c r="Q62" s="734"/>
      <c r="R62" s="735"/>
      <c r="S62" s="735"/>
      <c r="T62" s="734"/>
      <c r="U62" s="734"/>
      <c r="V62" s="734"/>
      <c r="W62" s="734"/>
      <c r="X62" s="734"/>
    </row>
    <row r="63" spans="1:24" x14ac:dyDescent="0.25">
      <c r="A63" s="734"/>
      <c r="B63" s="735"/>
      <c r="C63" s="735"/>
      <c r="D63" s="734"/>
      <c r="E63" s="734"/>
      <c r="F63" s="734"/>
      <c r="G63" s="734"/>
      <c r="H63" s="734"/>
      <c r="I63" s="734"/>
      <c r="J63" s="734"/>
      <c r="K63" s="734"/>
      <c r="L63" s="734"/>
      <c r="M63" s="734"/>
      <c r="N63" s="734"/>
      <c r="O63" s="734"/>
      <c r="P63" s="734"/>
      <c r="Q63" s="734"/>
      <c r="R63" s="735"/>
      <c r="S63" s="735"/>
      <c r="T63" s="734"/>
      <c r="U63" s="734"/>
      <c r="V63" s="734"/>
      <c r="W63" s="734"/>
      <c r="X63" s="734"/>
    </row>
    <row r="64" spans="1:24" x14ac:dyDescent="0.25">
      <c r="A64" s="734"/>
      <c r="B64" s="735"/>
      <c r="C64" s="735"/>
      <c r="D64" s="734"/>
      <c r="E64" s="734"/>
      <c r="F64" s="734"/>
      <c r="G64" s="734"/>
      <c r="H64" s="734"/>
      <c r="I64" s="734"/>
      <c r="J64" s="734"/>
      <c r="K64" s="734"/>
      <c r="L64" s="734"/>
      <c r="M64" s="734"/>
      <c r="N64" s="734"/>
      <c r="O64" s="734"/>
      <c r="P64" s="734"/>
      <c r="Q64" s="734"/>
      <c r="R64" s="735"/>
      <c r="S64" s="735"/>
      <c r="T64" s="734"/>
      <c r="U64" s="734"/>
      <c r="V64" s="734"/>
      <c r="W64" s="734"/>
      <c r="X64" s="734"/>
    </row>
    <row r="65" spans="1:24" x14ac:dyDescent="0.25">
      <c r="A65" s="734"/>
      <c r="B65" s="735"/>
      <c r="C65" s="735"/>
      <c r="D65" s="734"/>
      <c r="E65" s="734"/>
      <c r="F65" s="734"/>
      <c r="G65" s="734"/>
      <c r="H65" s="734"/>
      <c r="I65" s="734"/>
      <c r="J65" s="734"/>
      <c r="K65" s="734"/>
      <c r="L65" s="734"/>
      <c r="M65" s="734"/>
      <c r="N65" s="734"/>
      <c r="O65" s="734"/>
      <c r="P65" s="734"/>
      <c r="Q65" s="734"/>
      <c r="R65" s="735"/>
      <c r="S65" s="735"/>
      <c r="T65" s="734"/>
      <c r="U65" s="734"/>
      <c r="V65" s="734"/>
      <c r="W65" s="734"/>
      <c r="X65" s="734"/>
    </row>
    <row r="66" spans="1:24" x14ac:dyDescent="0.25">
      <c r="A66" s="734"/>
      <c r="B66" s="735"/>
      <c r="C66" s="735"/>
      <c r="D66" s="734"/>
      <c r="E66" s="734"/>
      <c r="F66" s="734"/>
      <c r="G66" s="734"/>
      <c r="H66" s="734"/>
      <c r="I66" s="734"/>
      <c r="J66" s="734"/>
      <c r="K66" s="734"/>
      <c r="L66" s="734"/>
      <c r="M66" s="734"/>
      <c r="N66" s="734"/>
      <c r="O66" s="734"/>
      <c r="P66" s="734"/>
      <c r="Q66" s="734"/>
      <c r="R66" s="735"/>
      <c r="S66" s="735"/>
      <c r="T66" s="734"/>
      <c r="U66" s="734"/>
      <c r="V66" s="734"/>
      <c r="W66" s="734"/>
      <c r="X66" s="734"/>
    </row>
    <row r="67" spans="1:24" x14ac:dyDescent="0.25">
      <c r="A67" s="734"/>
      <c r="B67" s="735"/>
      <c r="C67" s="735"/>
      <c r="D67" s="734"/>
      <c r="E67" s="734"/>
      <c r="F67" s="734"/>
      <c r="G67" s="734"/>
      <c r="H67" s="734"/>
      <c r="I67" s="734"/>
      <c r="J67" s="734"/>
      <c r="K67" s="734"/>
      <c r="L67" s="734"/>
      <c r="M67" s="734"/>
      <c r="N67" s="734"/>
      <c r="O67" s="734"/>
      <c r="P67" s="734"/>
      <c r="Q67" s="734"/>
      <c r="R67" s="735"/>
      <c r="S67" s="735"/>
      <c r="T67" s="734"/>
      <c r="U67" s="734"/>
      <c r="V67" s="734"/>
      <c r="W67" s="734"/>
      <c r="X67" s="734"/>
    </row>
    <row r="68" spans="1:24" x14ac:dyDescent="0.25">
      <c r="A68" s="734"/>
      <c r="B68" s="735"/>
      <c r="C68" s="735"/>
      <c r="D68" s="734"/>
      <c r="E68" s="734"/>
      <c r="F68" s="734"/>
      <c r="G68" s="734"/>
      <c r="H68" s="734"/>
      <c r="I68" s="734"/>
      <c r="J68" s="734"/>
      <c r="K68" s="734"/>
      <c r="L68" s="734"/>
      <c r="M68" s="734"/>
      <c r="N68" s="734"/>
      <c r="O68" s="734"/>
      <c r="P68" s="734"/>
      <c r="Q68" s="734"/>
      <c r="R68" s="735"/>
      <c r="S68" s="735"/>
      <c r="T68" s="734"/>
      <c r="U68" s="734"/>
      <c r="V68" s="734"/>
      <c r="W68" s="734"/>
      <c r="X68" s="734"/>
    </row>
    <row r="69" spans="1:24" x14ac:dyDescent="0.25">
      <c r="A69" s="734"/>
      <c r="B69" s="735"/>
      <c r="C69" s="735"/>
      <c r="D69" s="734"/>
      <c r="E69" s="734"/>
      <c r="F69" s="734"/>
      <c r="G69" s="734"/>
      <c r="H69" s="734"/>
      <c r="I69" s="734"/>
      <c r="J69" s="734"/>
      <c r="K69" s="734"/>
      <c r="L69" s="734"/>
      <c r="M69" s="734"/>
      <c r="N69" s="734"/>
      <c r="O69" s="734"/>
      <c r="P69" s="734"/>
      <c r="Q69" s="734"/>
      <c r="R69" s="735"/>
      <c r="S69" s="735"/>
      <c r="T69" s="734"/>
      <c r="U69" s="734"/>
      <c r="V69" s="734"/>
      <c r="W69" s="734"/>
      <c r="X69" s="734"/>
    </row>
    <row r="70" spans="1:24" x14ac:dyDescent="0.25">
      <c r="A70" s="734"/>
      <c r="B70" s="735"/>
      <c r="C70" s="735"/>
      <c r="D70" s="734"/>
      <c r="E70" s="734"/>
      <c r="F70" s="734"/>
      <c r="G70" s="734"/>
      <c r="H70" s="734"/>
      <c r="I70" s="734"/>
      <c r="J70" s="734"/>
      <c r="K70" s="734"/>
      <c r="L70" s="734"/>
      <c r="M70" s="734"/>
      <c r="N70" s="734"/>
      <c r="O70" s="734"/>
      <c r="P70" s="734"/>
      <c r="Q70" s="734"/>
      <c r="R70" s="735"/>
      <c r="S70" s="735"/>
      <c r="T70" s="734"/>
      <c r="U70" s="734"/>
      <c r="V70" s="734"/>
      <c r="W70" s="734"/>
      <c r="X70" s="734"/>
    </row>
    <row r="71" spans="1:24" x14ac:dyDescent="0.25">
      <c r="A71" s="734"/>
      <c r="B71" s="735"/>
      <c r="C71" s="735"/>
      <c r="D71" s="734"/>
      <c r="E71" s="734"/>
      <c r="F71" s="734"/>
      <c r="G71" s="734"/>
      <c r="H71" s="734"/>
      <c r="I71" s="734"/>
      <c r="J71" s="734"/>
      <c r="K71" s="734"/>
      <c r="L71" s="734"/>
      <c r="M71" s="734"/>
      <c r="N71" s="734"/>
      <c r="O71" s="734"/>
      <c r="P71" s="734"/>
      <c r="Q71" s="734"/>
      <c r="R71" s="735"/>
      <c r="S71" s="735"/>
      <c r="T71" s="734"/>
      <c r="U71" s="734"/>
      <c r="V71" s="734"/>
      <c r="W71" s="734"/>
      <c r="X71" s="734"/>
    </row>
    <row r="72" spans="1:24" x14ac:dyDescent="0.25">
      <c r="A72" s="734"/>
      <c r="B72" s="735"/>
      <c r="C72" s="735"/>
      <c r="D72" s="734"/>
      <c r="E72" s="734"/>
      <c r="F72" s="734"/>
      <c r="G72" s="734"/>
      <c r="H72" s="734"/>
      <c r="I72" s="734"/>
      <c r="J72" s="734"/>
      <c r="K72" s="734"/>
      <c r="L72" s="734"/>
      <c r="M72" s="734"/>
      <c r="N72" s="734"/>
      <c r="O72" s="734"/>
      <c r="P72" s="734"/>
      <c r="Q72" s="734"/>
      <c r="R72" s="735"/>
      <c r="S72" s="735"/>
      <c r="T72" s="734"/>
      <c r="U72" s="734"/>
      <c r="V72" s="734"/>
      <c r="W72" s="734"/>
      <c r="X72" s="734"/>
    </row>
    <row r="73" spans="1:24" x14ac:dyDescent="0.25">
      <c r="A73" s="734"/>
      <c r="B73" s="735"/>
      <c r="C73" s="735"/>
      <c r="D73" s="734"/>
      <c r="E73" s="734"/>
      <c r="F73" s="734"/>
      <c r="G73" s="734"/>
      <c r="H73" s="734"/>
      <c r="I73" s="734"/>
      <c r="J73" s="734"/>
      <c r="K73" s="734"/>
      <c r="L73" s="734"/>
      <c r="M73" s="734"/>
      <c r="N73" s="734"/>
      <c r="O73" s="734"/>
      <c r="P73" s="734"/>
      <c r="Q73" s="734"/>
      <c r="R73" s="735"/>
      <c r="S73" s="735"/>
      <c r="T73" s="734"/>
      <c r="U73" s="734"/>
      <c r="V73" s="734"/>
      <c r="W73" s="734"/>
      <c r="X73" s="734"/>
    </row>
    <row r="74" spans="1:24" x14ac:dyDescent="0.25">
      <c r="A74" s="734"/>
      <c r="B74" s="735"/>
      <c r="C74" s="735"/>
      <c r="D74" s="734"/>
      <c r="E74" s="734"/>
      <c r="F74" s="734"/>
      <c r="G74" s="734"/>
      <c r="H74" s="734"/>
      <c r="I74" s="734"/>
      <c r="J74" s="734"/>
      <c r="K74" s="734"/>
      <c r="L74" s="734"/>
      <c r="M74" s="734"/>
      <c r="N74" s="734"/>
      <c r="O74" s="734"/>
      <c r="P74" s="734"/>
      <c r="Q74" s="734"/>
      <c r="R74" s="735"/>
      <c r="S74" s="735"/>
      <c r="T74" s="734"/>
      <c r="U74" s="734"/>
      <c r="V74" s="734"/>
      <c r="W74" s="734"/>
      <c r="X74" s="734"/>
    </row>
    <row r="75" spans="1:24" x14ac:dyDescent="0.25">
      <c r="A75" s="734"/>
      <c r="B75" s="735"/>
      <c r="C75" s="735"/>
      <c r="D75" s="734"/>
      <c r="E75" s="734"/>
      <c r="F75" s="734"/>
      <c r="G75" s="734"/>
      <c r="H75" s="734"/>
      <c r="I75" s="734"/>
      <c r="J75" s="734"/>
      <c r="K75" s="734"/>
      <c r="L75" s="734"/>
      <c r="M75" s="734"/>
      <c r="N75" s="734"/>
      <c r="O75" s="734"/>
      <c r="P75" s="734"/>
      <c r="Q75" s="734"/>
      <c r="R75" s="735"/>
      <c r="S75" s="735"/>
      <c r="T75" s="734"/>
      <c r="U75" s="734"/>
      <c r="V75" s="734"/>
      <c r="W75" s="734"/>
      <c r="X75" s="734"/>
    </row>
    <row r="76" spans="1:24" x14ac:dyDescent="0.25">
      <c r="A76" s="734"/>
      <c r="B76" s="735"/>
      <c r="C76" s="735"/>
      <c r="D76" s="734"/>
      <c r="E76" s="734"/>
      <c r="F76" s="734"/>
      <c r="G76" s="734"/>
      <c r="H76" s="734"/>
      <c r="I76" s="734"/>
      <c r="J76" s="734"/>
      <c r="K76" s="734"/>
      <c r="L76" s="734"/>
      <c r="M76" s="734"/>
      <c r="N76" s="734"/>
      <c r="O76" s="734"/>
      <c r="P76" s="734"/>
      <c r="Q76" s="734"/>
      <c r="R76" s="735"/>
      <c r="S76" s="735"/>
      <c r="T76" s="734"/>
      <c r="U76" s="734"/>
      <c r="V76" s="734"/>
      <c r="W76" s="734"/>
      <c r="X76" s="734"/>
    </row>
    <row r="77" spans="1:24" x14ac:dyDescent="0.25">
      <c r="A77" s="734"/>
      <c r="B77" s="735"/>
      <c r="C77" s="735"/>
      <c r="D77" s="734"/>
      <c r="E77" s="734"/>
      <c r="F77" s="734"/>
      <c r="G77" s="734"/>
      <c r="H77" s="734"/>
      <c r="I77" s="734"/>
      <c r="J77" s="734"/>
      <c r="K77" s="734"/>
      <c r="L77" s="734"/>
      <c r="M77" s="734"/>
      <c r="N77" s="734"/>
      <c r="O77" s="734"/>
      <c r="P77" s="734"/>
      <c r="Q77" s="734"/>
      <c r="R77" s="735"/>
      <c r="S77" s="735"/>
      <c r="T77" s="734"/>
      <c r="U77" s="734"/>
      <c r="V77" s="734"/>
      <c r="W77" s="734"/>
      <c r="X77" s="734"/>
    </row>
    <row r="78" spans="1:24" x14ac:dyDescent="0.25">
      <c r="A78" s="734"/>
      <c r="B78" s="735"/>
      <c r="C78" s="735"/>
      <c r="D78" s="734"/>
      <c r="E78" s="734"/>
      <c r="F78" s="734"/>
      <c r="G78" s="734"/>
      <c r="H78" s="734"/>
      <c r="I78" s="734"/>
      <c r="J78" s="734"/>
      <c r="K78" s="734"/>
      <c r="L78" s="734"/>
      <c r="M78" s="734"/>
      <c r="N78" s="734"/>
      <c r="O78" s="734"/>
      <c r="P78" s="734"/>
      <c r="Q78" s="734"/>
      <c r="R78" s="735"/>
      <c r="S78" s="735"/>
      <c r="T78" s="734"/>
      <c r="U78" s="734"/>
      <c r="V78" s="734"/>
      <c r="W78" s="734"/>
      <c r="X78" s="734"/>
    </row>
    <row r="79" spans="1:24" x14ac:dyDescent="0.25">
      <c r="A79" s="734"/>
      <c r="B79" s="735"/>
      <c r="C79" s="735"/>
      <c r="D79" s="734"/>
      <c r="E79" s="734"/>
      <c r="F79" s="734"/>
      <c r="G79" s="734"/>
      <c r="H79" s="734"/>
      <c r="I79" s="734"/>
      <c r="J79" s="734"/>
      <c r="K79" s="734"/>
      <c r="L79" s="734"/>
      <c r="M79" s="734"/>
      <c r="N79" s="734"/>
      <c r="O79" s="734"/>
      <c r="P79" s="734"/>
      <c r="Q79" s="734"/>
      <c r="R79" s="735"/>
      <c r="S79" s="735"/>
      <c r="T79" s="734"/>
      <c r="U79" s="734"/>
      <c r="V79" s="734"/>
      <c r="W79" s="734"/>
      <c r="X79" s="734"/>
    </row>
    <row r="80" spans="1:24" x14ac:dyDescent="0.25">
      <c r="A80" s="734"/>
      <c r="B80" s="735"/>
      <c r="C80" s="735"/>
      <c r="D80" s="734"/>
      <c r="E80" s="734"/>
      <c r="F80" s="734"/>
      <c r="G80" s="734"/>
      <c r="H80" s="734"/>
      <c r="I80" s="734"/>
      <c r="J80" s="734"/>
      <c r="K80" s="734"/>
      <c r="L80" s="734"/>
      <c r="M80" s="734"/>
      <c r="N80" s="734"/>
      <c r="O80" s="734"/>
      <c r="P80" s="734"/>
      <c r="Q80" s="734"/>
      <c r="R80" s="735"/>
      <c r="S80" s="735"/>
      <c r="T80" s="734"/>
      <c r="U80" s="734"/>
      <c r="V80" s="734"/>
      <c r="W80" s="734"/>
      <c r="X80" s="734"/>
    </row>
    <row r="81" spans="1:24" x14ac:dyDescent="0.25">
      <c r="A81" s="734"/>
      <c r="B81" s="735"/>
      <c r="C81" s="735"/>
      <c r="D81" s="734"/>
      <c r="E81" s="734"/>
      <c r="F81" s="734"/>
      <c r="G81" s="734"/>
      <c r="H81" s="734"/>
      <c r="I81" s="734"/>
      <c r="J81" s="734"/>
      <c r="K81" s="734"/>
      <c r="L81" s="734"/>
      <c r="M81" s="734"/>
      <c r="N81" s="734"/>
      <c r="O81" s="734"/>
      <c r="P81" s="734"/>
      <c r="Q81" s="734"/>
      <c r="R81" s="735"/>
      <c r="S81" s="735"/>
      <c r="T81" s="734"/>
      <c r="U81" s="734"/>
      <c r="V81" s="734"/>
      <c r="W81" s="734"/>
      <c r="X81" s="734"/>
    </row>
  </sheetData>
  <sheetProtection algorithmName="SHA-512" hashValue="dQEQSC5KxU5H/O7hEhyCV0t46CZTangJ1FVrCQTG+BVdedSj6jnNMQEyiqihd2D7Nqj3jXu6YEQNKct2s+f+/A==" saltValue="HNZaM8L4Mi/TCPgIZQaW+w==" spinCount="100000" sheet="1" objects="1" scenarios="1"/>
  <mergeCells count="8">
    <mergeCell ref="J2:N2"/>
    <mergeCell ref="I3:I4"/>
    <mergeCell ref="J3:J4"/>
    <mergeCell ref="B18:B19"/>
    <mergeCell ref="C18:C19"/>
    <mergeCell ref="C2:G2"/>
    <mergeCell ref="C3:C4"/>
    <mergeCell ref="B3:B4"/>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F63B-2335-47E1-89AF-719925863AAB}">
  <dimension ref="B1:Q66"/>
  <sheetViews>
    <sheetView zoomScale="80" zoomScaleNormal="80" workbookViewId="0">
      <selection activeCell="M16" sqref="M16"/>
    </sheetView>
  </sheetViews>
  <sheetFormatPr defaultColWidth="8.7109375" defaultRowHeight="15" x14ac:dyDescent="0.25"/>
  <cols>
    <col min="1" max="1" width="1.42578125" style="16" customWidth="1"/>
    <col min="2" max="2" width="27.7109375" style="16" customWidth="1"/>
    <col min="3" max="5" width="16.28515625" style="16" customWidth="1"/>
    <col min="6" max="6" width="10.5703125" style="16" customWidth="1"/>
    <col min="7" max="7" width="37.28515625" style="16" customWidth="1"/>
    <col min="8" max="9" width="8.7109375" style="16"/>
    <col min="10" max="10" width="13.85546875" style="16" bestFit="1" customWidth="1"/>
    <col min="11" max="11" width="11.5703125" style="16" bestFit="1" customWidth="1"/>
    <col min="12" max="12" width="9.5703125" style="16" customWidth="1"/>
    <col min="13" max="13" width="9.42578125" style="16" customWidth="1"/>
    <col min="14" max="14" width="13.5703125" style="16" customWidth="1"/>
    <col min="15" max="15" width="14.42578125" style="16" customWidth="1"/>
    <col min="16" max="16" width="13.140625" style="16" customWidth="1"/>
    <col min="17" max="17" width="14.5703125" style="16" customWidth="1"/>
    <col min="18" max="16384" width="8.7109375" style="16"/>
  </cols>
  <sheetData>
    <row r="1" spans="2:17" ht="53.25" customHeight="1" x14ac:dyDescent="0.25">
      <c r="C1" s="102" t="s">
        <v>983</v>
      </c>
      <c r="M1" s="102" t="s">
        <v>396</v>
      </c>
      <c r="N1" s="102"/>
    </row>
    <row r="2" spans="2:17" ht="16.5" customHeight="1" thickBot="1" x14ac:dyDescent="0.3"/>
    <row r="3" spans="2:17" ht="24.75" customHeight="1" thickBot="1" x14ac:dyDescent="0.3">
      <c r="B3" s="1123"/>
      <c r="C3" s="1124"/>
      <c r="D3" s="1124"/>
      <c r="E3" s="1124"/>
      <c r="F3" s="1124"/>
      <c r="G3" s="229" t="s">
        <v>2</v>
      </c>
    </row>
    <row r="4" spans="2:17" ht="33.75" customHeight="1" thickBot="1" x14ac:dyDescent="0.3">
      <c r="B4" s="415" t="s">
        <v>397</v>
      </c>
      <c r="C4" s="416" t="s">
        <v>251</v>
      </c>
      <c r="D4" s="416" t="s">
        <v>398</v>
      </c>
      <c r="E4" s="416" t="s">
        <v>399</v>
      </c>
      <c r="F4" s="326"/>
      <c r="G4" s="865"/>
      <c r="I4" s="417"/>
      <c r="J4" s="417"/>
      <c r="K4" s="417"/>
      <c r="L4" s="417"/>
      <c r="M4" s="417"/>
      <c r="N4" s="417"/>
    </row>
    <row r="5" spans="2:17" ht="15.75" customHeight="1" thickBot="1" x14ac:dyDescent="0.3">
      <c r="B5" s="418" t="s">
        <v>400</v>
      </c>
      <c r="C5" s="419">
        <f>'B2. Indata beräkning'!C29</f>
        <v>0</v>
      </c>
      <c r="D5" s="810"/>
      <c r="E5" s="420">
        <f>'B2. Indata beräkning'!F29</f>
        <v>0</v>
      </c>
      <c r="F5" s="421" t="s">
        <v>401</v>
      </c>
      <c r="G5" s="869"/>
    </row>
    <row r="6" spans="2:17" ht="15.75" customHeight="1" thickBot="1" x14ac:dyDescent="0.3">
      <c r="B6" s="418" t="s">
        <v>402</v>
      </c>
      <c r="C6" s="422">
        <f>'A. Byggnadsinfo med BBR'!D43</f>
        <v>0</v>
      </c>
      <c r="D6" s="811"/>
      <c r="E6" s="423">
        <f>'A. Byggnadsinfo med BBR'!E43</f>
        <v>0</v>
      </c>
      <c r="F6" s="424" t="s">
        <v>403</v>
      </c>
      <c r="G6" s="870"/>
      <c r="H6" s="111"/>
      <c r="I6" s="111"/>
      <c r="J6" s="111"/>
    </row>
    <row r="7" spans="2:17" ht="18" thickBot="1" x14ac:dyDescent="0.3">
      <c r="B7" s="418" t="s">
        <v>404</v>
      </c>
      <c r="C7" s="422">
        <f>'B2. Indata beräkning'!D17</f>
        <v>0</v>
      </c>
      <c r="D7" s="811"/>
      <c r="E7" s="423">
        <f>'B2. Indata beräkning'!G17</f>
        <v>0</v>
      </c>
      <c r="F7" s="424" t="s">
        <v>403</v>
      </c>
      <c r="G7" s="870"/>
    </row>
    <row r="8" spans="2:17" ht="16.5" thickBot="1" x14ac:dyDescent="0.3">
      <c r="B8" s="418" t="s">
        <v>405</v>
      </c>
      <c r="C8" s="812"/>
      <c r="D8" s="425">
        <f>C8</f>
        <v>0</v>
      </c>
      <c r="E8" s="425">
        <f>C8</f>
        <v>0</v>
      </c>
      <c r="F8" s="424" t="s">
        <v>14</v>
      </c>
      <c r="G8" s="870"/>
    </row>
    <row r="9" spans="2:17" ht="15.75" customHeight="1" thickBot="1" x14ac:dyDescent="0.3">
      <c r="B9" s="418" t="s">
        <v>406</v>
      </c>
      <c r="C9" s="812"/>
      <c r="D9" s="456"/>
      <c r="E9" s="456"/>
      <c r="F9" s="424"/>
      <c r="G9" s="870"/>
    </row>
    <row r="10" spans="2:17" ht="31.5" customHeight="1" x14ac:dyDescent="0.35">
      <c r="B10" s="426" t="s">
        <v>407</v>
      </c>
      <c r="C10" s="812"/>
      <c r="D10" s="456"/>
      <c r="E10" s="456"/>
      <c r="F10" s="424" t="s">
        <v>408</v>
      </c>
      <c r="G10" s="871"/>
      <c r="J10" s="427" cm="1">
        <f t="array" ref="J10:K10">LINEST(Q14:Q17,O14:O17)</f>
        <v>-9.3995859213250501</v>
      </c>
      <c r="K10" s="427">
        <v>110.84886128364388</v>
      </c>
    </row>
    <row r="11" spans="2:17" ht="15.75" customHeight="1" thickBot="1" x14ac:dyDescent="0.35">
      <c r="B11" s="428" t="s">
        <v>409</v>
      </c>
      <c r="C11" s="812"/>
      <c r="D11" s="456"/>
      <c r="E11" s="456"/>
      <c r="F11" s="424" t="s">
        <v>408</v>
      </c>
      <c r="G11" s="870"/>
    </row>
    <row r="12" spans="2:17" ht="15.75" customHeight="1" thickBot="1" x14ac:dyDescent="0.35">
      <c r="B12" s="428" t="s">
        <v>410</v>
      </c>
      <c r="C12" s="812"/>
      <c r="D12" s="456"/>
      <c r="E12" s="456"/>
      <c r="F12" s="424" t="s">
        <v>408</v>
      </c>
      <c r="G12" s="870"/>
      <c r="I12" s="153" t="s">
        <v>411</v>
      </c>
      <c r="M12" s="429" t="s">
        <v>969</v>
      </c>
      <c r="N12" s="429" t="s">
        <v>412</v>
      </c>
      <c r="O12" s="429" t="s">
        <v>413</v>
      </c>
      <c r="P12" s="430" t="s">
        <v>414</v>
      </c>
      <c r="Q12" s="429" t="s">
        <v>415</v>
      </c>
    </row>
    <row r="13" spans="2:17" ht="19.5" thickBot="1" x14ac:dyDescent="0.4">
      <c r="B13" s="418" t="s">
        <v>416</v>
      </c>
      <c r="C13" s="431">
        <f>'B2. Indata beräkning'!C31*VFT!C7</f>
        <v>0</v>
      </c>
      <c r="D13" s="456"/>
      <c r="E13" s="432">
        <f>'B2. Indata beräkning'!H31*VFT!E7</f>
        <v>0</v>
      </c>
      <c r="F13" s="424" t="s">
        <v>152</v>
      </c>
      <c r="G13" s="870"/>
      <c r="J13" s="433">
        <f>IF(E6=0,0,(C8*J10+K10)/E6)</f>
        <v>0</v>
      </c>
      <c r="K13" s="16" t="s">
        <v>417</v>
      </c>
      <c r="M13" s="434"/>
      <c r="N13" s="435" t="s">
        <v>418</v>
      </c>
      <c r="O13" s="435" t="s">
        <v>419</v>
      </c>
      <c r="P13" s="436" t="s">
        <v>420</v>
      </c>
      <c r="Q13" s="436" t="s">
        <v>421</v>
      </c>
    </row>
    <row r="14" spans="2:17" ht="16.5" thickBot="1" x14ac:dyDescent="0.35">
      <c r="B14" s="437" t="s">
        <v>422</v>
      </c>
      <c r="C14" s="458"/>
      <c r="D14" s="457"/>
      <c r="E14" s="459"/>
      <c r="F14" s="424"/>
      <c r="G14" s="870"/>
      <c r="I14" s="1271"/>
      <c r="J14" s="1272"/>
      <c r="K14" s="1272"/>
      <c r="M14" s="438">
        <v>1</v>
      </c>
      <c r="N14" s="460">
        <v>50</v>
      </c>
      <c r="O14" s="460">
        <v>1</v>
      </c>
      <c r="P14" s="460">
        <v>5</v>
      </c>
      <c r="Q14" s="439">
        <f>IF(N14=0,0,P14/N14*1000)</f>
        <v>100</v>
      </c>
    </row>
    <row r="15" spans="2:17" ht="16.5" thickBot="1" x14ac:dyDescent="0.35">
      <c r="B15" s="437" t="s">
        <v>423</v>
      </c>
      <c r="C15" s="458"/>
      <c r="D15" s="457"/>
      <c r="E15" s="459"/>
      <c r="F15" s="424"/>
      <c r="G15" s="870"/>
      <c r="I15" s="1273"/>
      <c r="J15" s="1273"/>
      <c r="K15" s="1273"/>
      <c r="M15" s="440">
        <v>2</v>
      </c>
      <c r="N15" s="460">
        <v>50</v>
      </c>
      <c r="O15" s="461">
        <v>10</v>
      </c>
      <c r="P15" s="461">
        <v>1</v>
      </c>
      <c r="Q15" s="439">
        <f t="shared" ref="Q15:Q65" si="0">IF(N15=0,0,P15/N15*1000)</f>
        <v>20</v>
      </c>
    </row>
    <row r="16" spans="2:17" ht="18" thickBot="1" x14ac:dyDescent="0.3">
      <c r="B16" s="418" t="s">
        <v>424</v>
      </c>
      <c r="C16" s="441">
        <f>IFERROR(((C13*C7*C14)/(1+C15/C14*((C11-C12)/(C13*C7))^2)),0)</f>
        <v>0</v>
      </c>
      <c r="D16" s="425">
        <f>IFERROR(((D13*D7*D14)/(1+D15/D14*((D11-D12)/(D13*D7))^2)),0)</f>
        <v>0</v>
      </c>
      <c r="E16" s="442">
        <f>IFERROR(((E13*E7*E14)/(1+E15/E14*((E11-E12)/(E13*E7))^2)),0)</f>
        <v>0</v>
      </c>
      <c r="F16" s="424" t="s">
        <v>408</v>
      </c>
      <c r="G16" s="870"/>
      <c r="I16" s="1273"/>
      <c r="J16" s="1273"/>
      <c r="K16" s="1273"/>
      <c r="M16" s="440">
        <v>3</v>
      </c>
      <c r="N16" s="460">
        <v>50</v>
      </c>
      <c r="O16" s="461">
        <v>5</v>
      </c>
      <c r="P16" s="461">
        <v>3</v>
      </c>
      <c r="Q16" s="439">
        <f t="shared" si="0"/>
        <v>60</v>
      </c>
    </row>
    <row r="17" spans="2:17" ht="16.5" thickBot="1" x14ac:dyDescent="0.35">
      <c r="B17" s="443" t="s">
        <v>425</v>
      </c>
      <c r="C17" s="441">
        <f>C5*C7+1.2*C16+1.2*C10*(1-(C9-3)/100)</f>
        <v>0</v>
      </c>
      <c r="D17" s="425">
        <f>D5*D7+1.2*D16+1.2*D10*(1-(D9-3)/100)</f>
        <v>0</v>
      </c>
      <c r="E17" s="442">
        <f>E5*E7+1.2*E16+1.2*E10*(1-(E9-3)/100)</f>
        <v>0</v>
      </c>
      <c r="F17" s="424" t="s">
        <v>426</v>
      </c>
      <c r="G17" s="870"/>
      <c r="I17" s="1273"/>
      <c r="J17" s="1273"/>
      <c r="K17" s="1273"/>
      <c r="M17" s="440">
        <v>4</v>
      </c>
      <c r="N17" s="460">
        <v>50</v>
      </c>
      <c r="O17" s="461">
        <v>-5</v>
      </c>
      <c r="P17" s="461">
        <v>8</v>
      </c>
      <c r="Q17" s="439">
        <f t="shared" si="0"/>
        <v>160</v>
      </c>
    </row>
    <row r="18" spans="2:17" ht="17.25" customHeight="1" thickBot="1" x14ac:dyDescent="0.3">
      <c r="B18" s="444" t="s">
        <v>427</v>
      </c>
      <c r="C18" s="445">
        <f>IF(C6=0,0,C17*(21-C8)/C6)</f>
        <v>0</v>
      </c>
      <c r="D18" s="445">
        <f t="shared" ref="D18:E18" si="1">IF(D6=0,0,D17*(21-D8)/D6)</f>
        <v>0</v>
      </c>
      <c r="E18" s="445">
        <f t="shared" si="1"/>
        <v>0</v>
      </c>
      <c r="F18" s="446" t="s">
        <v>428</v>
      </c>
      <c r="G18" s="870"/>
      <c r="M18" s="440">
        <v>5</v>
      </c>
      <c r="N18" s="460"/>
      <c r="O18" s="461"/>
      <c r="P18" s="461"/>
      <c r="Q18" s="439">
        <f t="shared" si="0"/>
        <v>0</v>
      </c>
    </row>
    <row r="19" spans="2:17" ht="15.75" thickBot="1" x14ac:dyDescent="0.3">
      <c r="B19" s="334"/>
      <c r="C19" s="447"/>
      <c r="D19" s="448"/>
      <c r="E19" s="448"/>
      <c r="F19" s="449"/>
      <c r="G19" s="870"/>
      <c r="M19" s="440">
        <v>6</v>
      </c>
      <c r="N19" s="460"/>
      <c r="O19" s="461"/>
      <c r="P19" s="461"/>
      <c r="Q19" s="439">
        <f t="shared" si="0"/>
        <v>0</v>
      </c>
    </row>
    <row r="20" spans="2:17" ht="15.75" thickBot="1" x14ac:dyDescent="0.3">
      <c r="B20" s="334"/>
      <c r="C20" s="422"/>
      <c r="D20" s="423"/>
      <c r="E20" s="423"/>
      <c r="F20" s="424"/>
      <c r="G20" s="870"/>
      <c r="M20" s="440">
        <v>7</v>
      </c>
      <c r="N20" s="460"/>
      <c r="O20" s="461"/>
      <c r="P20" s="461"/>
      <c r="Q20" s="439">
        <f t="shared" si="0"/>
        <v>0</v>
      </c>
    </row>
    <row r="21" spans="2:17" ht="15.75" thickBot="1" x14ac:dyDescent="0.3">
      <c r="B21" s="334"/>
      <c r="C21" s="450"/>
      <c r="D21" s="451"/>
      <c r="E21" s="451"/>
      <c r="F21" s="452"/>
      <c r="G21" s="864"/>
      <c r="M21" s="440">
        <v>8</v>
      </c>
      <c r="N21" s="461"/>
      <c r="O21" s="461"/>
      <c r="P21" s="461"/>
      <c r="Q21" s="439">
        <f t="shared" si="0"/>
        <v>0</v>
      </c>
    </row>
    <row r="22" spans="2:17" ht="16.5" x14ac:dyDescent="0.25">
      <c r="B22" s="453" t="s">
        <v>429</v>
      </c>
      <c r="G22" s="454"/>
      <c r="H22" s="455"/>
      <c r="M22" s="440">
        <v>9</v>
      </c>
      <c r="N22" s="461"/>
      <c r="O22" s="461"/>
      <c r="P22" s="461"/>
      <c r="Q22" s="439">
        <f t="shared" si="0"/>
        <v>0</v>
      </c>
    </row>
    <row r="23" spans="2:17" x14ac:dyDescent="0.25">
      <c r="G23" s="454"/>
      <c r="H23" s="455"/>
      <c r="M23" s="440">
        <v>10</v>
      </c>
      <c r="N23" s="461"/>
      <c r="O23" s="461"/>
      <c r="P23" s="461"/>
      <c r="Q23" s="439">
        <f t="shared" si="0"/>
        <v>0</v>
      </c>
    </row>
    <row r="24" spans="2:17" x14ac:dyDescent="0.25">
      <c r="M24" s="440">
        <v>11</v>
      </c>
      <c r="N24" s="461"/>
      <c r="O24" s="461"/>
      <c r="P24" s="461"/>
      <c r="Q24" s="439">
        <f t="shared" si="0"/>
        <v>0</v>
      </c>
    </row>
    <row r="25" spans="2:17" x14ac:dyDescent="0.25">
      <c r="M25" s="440">
        <v>12</v>
      </c>
      <c r="N25" s="461"/>
      <c r="O25" s="461"/>
      <c r="P25" s="461"/>
      <c r="Q25" s="439">
        <f t="shared" si="0"/>
        <v>0</v>
      </c>
    </row>
    <row r="26" spans="2:17" x14ac:dyDescent="0.25">
      <c r="M26" s="440">
        <v>13</v>
      </c>
      <c r="N26" s="461"/>
      <c r="O26" s="461"/>
      <c r="P26" s="461"/>
      <c r="Q26" s="439">
        <f t="shared" si="0"/>
        <v>0</v>
      </c>
    </row>
    <row r="27" spans="2:17" x14ac:dyDescent="0.25">
      <c r="M27" s="440">
        <v>14</v>
      </c>
      <c r="N27" s="461"/>
      <c r="O27" s="461"/>
      <c r="P27" s="461"/>
      <c r="Q27" s="439">
        <f t="shared" si="0"/>
        <v>0</v>
      </c>
    </row>
    <row r="28" spans="2:17" x14ac:dyDescent="0.25">
      <c r="M28" s="440">
        <v>15</v>
      </c>
      <c r="N28" s="461"/>
      <c r="O28" s="461"/>
      <c r="P28" s="461"/>
      <c r="Q28" s="439">
        <f t="shared" si="0"/>
        <v>0</v>
      </c>
    </row>
    <row r="29" spans="2:17" x14ac:dyDescent="0.25">
      <c r="M29" s="440">
        <v>16</v>
      </c>
      <c r="N29" s="461"/>
      <c r="O29" s="461"/>
      <c r="P29" s="461"/>
      <c r="Q29" s="439">
        <f t="shared" si="0"/>
        <v>0</v>
      </c>
    </row>
    <row r="30" spans="2:17" x14ac:dyDescent="0.25">
      <c r="M30" s="440">
        <v>17</v>
      </c>
      <c r="N30" s="461"/>
      <c r="O30" s="461"/>
      <c r="P30" s="461"/>
      <c r="Q30" s="439">
        <f t="shared" si="0"/>
        <v>0</v>
      </c>
    </row>
    <row r="31" spans="2:17" x14ac:dyDescent="0.25">
      <c r="M31" s="440">
        <v>18</v>
      </c>
      <c r="N31" s="461"/>
      <c r="O31" s="461"/>
      <c r="P31" s="461"/>
      <c r="Q31" s="439">
        <f t="shared" si="0"/>
        <v>0</v>
      </c>
    </row>
    <row r="32" spans="2:17" x14ac:dyDescent="0.25">
      <c r="M32" s="440">
        <v>19</v>
      </c>
      <c r="N32" s="461"/>
      <c r="O32" s="461"/>
      <c r="P32" s="461"/>
      <c r="Q32" s="439">
        <f t="shared" si="0"/>
        <v>0</v>
      </c>
    </row>
    <row r="33" spans="13:17" x14ac:dyDescent="0.25">
      <c r="M33" s="440">
        <v>20</v>
      </c>
      <c r="N33" s="461"/>
      <c r="O33" s="461"/>
      <c r="P33" s="461"/>
      <c r="Q33" s="439">
        <f t="shared" si="0"/>
        <v>0</v>
      </c>
    </row>
    <row r="34" spans="13:17" x14ac:dyDescent="0.25">
      <c r="M34" s="440">
        <v>21</v>
      </c>
      <c r="N34" s="461"/>
      <c r="O34" s="461"/>
      <c r="P34" s="461"/>
      <c r="Q34" s="439">
        <f t="shared" si="0"/>
        <v>0</v>
      </c>
    </row>
    <row r="35" spans="13:17" x14ac:dyDescent="0.25">
      <c r="M35" s="440">
        <v>22</v>
      </c>
      <c r="N35" s="461"/>
      <c r="O35" s="461"/>
      <c r="P35" s="461"/>
      <c r="Q35" s="439">
        <f t="shared" si="0"/>
        <v>0</v>
      </c>
    </row>
    <row r="36" spans="13:17" x14ac:dyDescent="0.25">
      <c r="M36" s="440">
        <v>23</v>
      </c>
      <c r="N36" s="461"/>
      <c r="O36" s="461"/>
      <c r="P36" s="461"/>
      <c r="Q36" s="439">
        <f t="shared" si="0"/>
        <v>0</v>
      </c>
    </row>
    <row r="37" spans="13:17" x14ac:dyDescent="0.25">
      <c r="M37" s="440">
        <v>24</v>
      </c>
      <c r="N37" s="461"/>
      <c r="O37" s="461"/>
      <c r="P37" s="461"/>
      <c r="Q37" s="439">
        <f t="shared" si="0"/>
        <v>0</v>
      </c>
    </row>
    <row r="38" spans="13:17" x14ac:dyDescent="0.25">
      <c r="M38" s="440">
        <v>25</v>
      </c>
      <c r="N38" s="461"/>
      <c r="O38" s="461"/>
      <c r="P38" s="461"/>
      <c r="Q38" s="439">
        <f t="shared" si="0"/>
        <v>0</v>
      </c>
    </row>
    <row r="39" spans="13:17" x14ac:dyDescent="0.25">
      <c r="M39" s="440">
        <v>26</v>
      </c>
      <c r="N39" s="461"/>
      <c r="O39" s="461"/>
      <c r="P39" s="461"/>
      <c r="Q39" s="439">
        <f t="shared" si="0"/>
        <v>0</v>
      </c>
    </row>
    <row r="40" spans="13:17" x14ac:dyDescent="0.25">
      <c r="M40" s="440">
        <v>27</v>
      </c>
      <c r="N40" s="461"/>
      <c r="O40" s="461"/>
      <c r="P40" s="461"/>
      <c r="Q40" s="439">
        <f t="shared" si="0"/>
        <v>0</v>
      </c>
    </row>
    <row r="41" spans="13:17" x14ac:dyDescent="0.25">
      <c r="M41" s="440">
        <v>28</v>
      </c>
      <c r="N41" s="461"/>
      <c r="O41" s="461"/>
      <c r="P41" s="461"/>
      <c r="Q41" s="439">
        <f t="shared" si="0"/>
        <v>0</v>
      </c>
    </row>
    <row r="42" spans="13:17" x14ac:dyDescent="0.25">
      <c r="M42" s="440">
        <v>29</v>
      </c>
      <c r="N42" s="461"/>
      <c r="O42" s="461"/>
      <c r="P42" s="461"/>
      <c r="Q42" s="439">
        <f t="shared" si="0"/>
        <v>0</v>
      </c>
    </row>
    <row r="43" spans="13:17" x14ac:dyDescent="0.25">
      <c r="M43" s="440">
        <v>30</v>
      </c>
      <c r="N43" s="461"/>
      <c r="O43" s="461"/>
      <c r="P43" s="461"/>
      <c r="Q43" s="439">
        <f t="shared" si="0"/>
        <v>0</v>
      </c>
    </row>
    <row r="44" spans="13:17" x14ac:dyDescent="0.25">
      <c r="M44" s="440">
        <v>31</v>
      </c>
      <c r="N44" s="461"/>
      <c r="O44" s="461"/>
      <c r="P44" s="461"/>
      <c r="Q44" s="439">
        <f t="shared" si="0"/>
        <v>0</v>
      </c>
    </row>
    <row r="45" spans="13:17" x14ac:dyDescent="0.25">
      <c r="M45" s="440">
        <v>32</v>
      </c>
      <c r="N45" s="461"/>
      <c r="O45" s="461"/>
      <c r="P45" s="461"/>
      <c r="Q45" s="439">
        <f t="shared" si="0"/>
        <v>0</v>
      </c>
    </row>
    <row r="46" spans="13:17" x14ac:dyDescent="0.25">
      <c r="M46" s="440">
        <v>33</v>
      </c>
      <c r="N46" s="461"/>
      <c r="O46" s="461"/>
      <c r="P46" s="461"/>
      <c r="Q46" s="439">
        <f t="shared" si="0"/>
        <v>0</v>
      </c>
    </row>
    <row r="47" spans="13:17" x14ac:dyDescent="0.25">
      <c r="M47" s="440">
        <v>34</v>
      </c>
      <c r="N47" s="461"/>
      <c r="O47" s="461"/>
      <c r="P47" s="461"/>
      <c r="Q47" s="439">
        <f t="shared" si="0"/>
        <v>0</v>
      </c>
    </row>
    <row r="48" spans="13:17" x14ac:dyDescent="0.25">
      <c r="M48" s="440">
        <v>35</v>
      </c>
      <c r="N48" s="461"/>
      <c r="O48" s="461"/>
      <c r="P48" s="461"/>
      <c r="Q48" s="439">
        <f t="shared" si="0"/>
        <v>0</v>
      </c>
    </row>
    <row r="49" spans="13:17" x14ac:dyDescent="0.25">
      <c r="M49" s="440">
        <v>36</v>
      </c>
      <c r="N49" s="461"/>
      <c r="O49" s="461"/>
      <c r="P49" s="461"/>
      <c r="Q49" s="439">
        <f t="shared" si="0"/>
        <v>0</v>
      </c>
    </row>
    <row r="50" spans="13:17" x14ac:dyDescent="0.25">
      <c r="M50" s="440">
        <v>37</v>
      </c>
      <c r="N50" s="461"/>
      <c r="O50" s="461"/>
      <c r="P50" s="461"/>
      <c r="Q50" s="439">
        <f t="shared" si="0"/>
        <v>0</v>
      </c>
    </row>
    <row r="51" spans="13:17" x14ac:dyDescent="0.25">
      <c r="M51" s="440">
        <v>38</v>
      </c>
      <c r="N51" s="461"/>
      <c r="O51" s="461"/>
      <c r="P51" s="461"/>
      <c r="Q51" s="439">
        <f t="shared" si="0"/>
        <v>0</v>
      </c>
    </row>
    <row r="52" spans="13:17" x14ac:dyDescent="0.25">
      <c r="M52" s="440">
        <v>39</v>
      </c>
      <c r="N52" s="461"/>
      <c r="O52" s="461"/>
      <c r="P52" s="461"/>
      <c r="Q52" s="439">
        <f t="shared" si="0"/>
        <v>0</v>
      </c>
    </row>
    <row r="53" spans="13:17" x14ac:dyDescent="0.25">
      <c r="M53" s="440">
        <v>40</v>
      </c>
      <c r="N53" s="461"/>
      <c r="O53" s="461"/>
      <c r="P53" s="461"/>
      <c r="Q53" s="439">
        <f t="shared" si="0"/>
        <v>0</v>
      </c>
    </row>
    <row r="54" spans="13:17" x14ac:dyDescent="0.25">
      <c r="M54" s="440">
        <v>41</v>
      </c>
      <c r="N54" s="461"/>
      <c r="O54" s="461"/>
      <c r="P54" s="461"/>
      <c r="Q54" s="439">
        <f t="shared" si="0"/>
        <v>0</v>
      </c>
    </row>
    <row r="55" spans="13:17" x14ac:dyDescent="0.25">
      <c r="M55" s="440">
        <v>42</v>
      </c>
      <c r="N55" s="461"/>
      <c r="O55" s="461"/>
      <c r="P55" s="461"/>
      <c r="Q55" s="439">
        <f t="shared" si="0"/>
        <v>0</v>
      </c>
    </row>
    <row r="56" spans="13:17" x14ac:dyDescent="0.25">
      <c r="M56" s="440">
        <v>43</v>
      </c>
      <c r="N56" s="461"/>
      <c r="O56" s="461"/>
      <c r="P56" s="461"/>
      <c r="Q56" s="439">
        <f t="shared" si="0"/>
        <v>0</v>
      </c>
    </row>
    <row r="57" spans="13:17" x14ac:dyDescent="0.25">
      <c r="M57" s="440">
        <v>44</v>
      </c>
      <c r="N57" s="461"/>
      <c r="O57" s="461"/>
      <c r="P57" s="461"/>
      <c r="Q57" s="439">
        <f t="shared" si="0"/>
        <v>0</v>
      </c>
    </row>
    <row r="58" spans="13:17" x14ac:dyDescent="0.25">
      <c r="M58" s="440">
        <v>45</v>
      </c>
      <c r="N58" s="461"/>
      <c r="O58" s="461"/>
      <c r="P58" s="461"/>
      <c r="Q58" s="439">
        <f t="shared" si="0"/>
        <v>0</v>
      </c>
    </row>
    <row r="59" spans="13:17" x14ac:dyDescent="0.25">
      <c r="M59" s="440">
        <v>46</v>
      </c>
      <c r="N59" s="461"/>
      <c r="O59" s="461"/>
      <c r="P59" s="461"/>
      <c r="Q59" s="439">
        <f t="shared" si="0"/>
        <v>0</v>
      </c>
    </row>
    <row r="60" spans="13:17" x14ac:dyDescent="0.25">
      <c r="M60" s="440">
        <v>47</v>
      </c>
      <c r="N60" s="461"/>
      <c r="O60" s="461"/>
      <c r="P60" s="461"/>
      <c r="Q60" s="439">
        <f t="shared" si="0"/>
        <v>0</v>
      </c>
    </row>
    <row r="61" spans="13:17" x14ac:dyDescent="0.25">
      <c r="M61" s="440">
        <v>48</v>
      </c>
      <c r="N61" s="461"/>
      <c r="O61" s="461"/>
      <c r="P61" s="461"/>
      <c r="Q61" s="439">
        <f t="shared" si="0"/>
        <v>0</v>
      </c>
    </row>
    <row r="62" spans="13:17" x14ac:dyDescent="0.25">
      <c r="M62" s="440">
        <v>49</v>
      </c>
      <c r="N62" s="461"/>
      <c r="O62" s="461"/>
      <c r="P62" s="461"/>
      <c r="Q62" s="439">
        <f t="shared" si="0"/>
        <v>0</v>
      </c>
    </row>
    <row r="63" spans="13:17" x14ac:dyDescent="0.25">
      <c r="M63" s="440">
        <v>50</v>
      </c>
      <c r="N63" s="461"/>
      <c r="O63" s="461"/>
      <c r="P63" s="461"/>
      <c r="Q63" s="439">
        <f t="shared" si="0"/>
        <v>0</v>
      </c>
    </row>
    <row r="64" spans="13:17" x14ac:dyDescent="0.25">
      <c r="M64" s="440">
        <v>51</v>
      </c>
      <c r="N64" s="461"/>
      <c r="O64" s="461"/>
      <c r="P64" s="461"/>
      <c r="Q64" s="439">
        <f t="shared" si="0"/>
        <v>0</v>
      </c>
    </row>
    <row r="65" spans="13:17" x14ac:dyDescent="0.25">
      <c r="M65" s="440">
        <v>52</v>
      </c>
      <c r="N65" s="461"/>
      <c r="O65" s="461"/>
      <c r="P65" s="461"/>
      <c r="Q65" s="439">
        <f t="shared" si="0"/>
        <v>0</v>
      </c>
    </row>
    <row r="66" spans="13:17" x14ac:dyDescent="0.25">
      <c r="M66" s="462"/>
      <c r="N66" s="461"/>
      <c r="O66" s="461"/>
      <c r="P66" s="461"/>
      <c r="Q66" s="439"/>
    </row>
  </sheetData>
  <sheetProtection algorithmName="SHA-512" hashValue="XVpXYOG9IhKeO4zdPKbfOVZHUgw/CGl3cgA7rPG10fEih+NPUiV+RYQwS6cGE8Ot55cu8Sz3So8JmK1Q1FC3sg==" saltValue="yGk5/EBJeZ0ywtPoKgyU3g==" spinCount="100000" sheet="1" objects="1" scenarios="1"/>
  <mergeCells count="2">
    <mergeCell ref="B3:F3"/>
    <mergeCell ref="I14:K17"/>
  </mergeCells>
  <phoneticPr fontId="41" type="noConversion"/>
  <pageMargins left="0.7" right="0.7" top="0.75" bottom="0.75" header="0.3" footer="0.3"/>
  <pageSetup paperSize="9" orientation="portrait" horizontalDpi="30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BE75"/>
  <sheetViews>
    <sheetView zoomScale="80" zoomScaleNormal="80" zoomScalePageLayoutView="60" workbookViewId="0">
      <selection activeCell="K39" sqref="K39:M39"/>
    </sheetView>
  </sheetViews>
  <sheetFormatPr defaultColWidth="8.7109375" defaultRowHeight="15" x14ac:dyDescent="0.25"/>
  <cols>
    <col min="1" max="1" width="1.5703125" style="16" customWidth="1"/>
    <col min="2" max="2" width="35.28515625" style="16" customWidth="1"/>
    <col min="3" max="3" width="14.7109375" style="16" customWidth="1"/>
    <col min="4" max="5" width="14.5703125" style="16" customWidth="1"/>
    <col min="6" max="6" width="14.7109375" style="16" customWidth="1"/>
    <col min="7" max="7" width="14.85546875" style="16" customWidth="1"/>
    <col min="8" max="8" width="14.7109375" style="16" customWidth="1"/>
    <col min="9" max="10" width="14.85546875" style="16" customWidth="1"/>
    <col min="11" max="11" width="15.42578125" style="16" customWidth="1"/>
    <col min="12" max="12" width="8.5703125" style="16" customWidth="1"/>
    <col min="13" max="13" width="13.28515625" style="16" customWidth="1"/>
    <col min="14" max="14" width="7.5703125" style="16" customWidth="1"/>
    <col min="15" max="15" width="13.5703125" style="16" customWidth="1"/>
    <col min="16" max="17" width="10.5703125" style="16" customWidth="1"/>
    <col min="18" max="30" width="8.7109375" style="16"/>
    <col min="31" max="31" width="9.5703125" style="16" customWidth="1"/>
    <col min="32" max="16384" width="8.7109375" style="16"/>
  </cols>
  <sheetData>
    <row r="1" spans="1:57" ht="8.25" customHeight="1" x14ac:dyDescent="0.25">
      <c r="A1" s="27"/>
    </row>
    <row r="2" spans="1:57" ht="21" x14ac:dyDescent="0.35">
      <c r="A2" s="27"/>
      <c r="C2" s="463" t="s">
        <v>430</v>
      </c>
      <c r="E2" s="131"/>
      <c r="F2" s="131"/>
      <c r="G2" s="131"/>
      <c r="H2" s="131"/>
      <c r="I2" s="131"/>
      <c r="J2" s="131"/>
      <c r="K2" s="131"/>
      <c r="L2" s="131"/>
      <c r="M2" s="131"/>
      <c r="N2" s="131"/>
      <c r="O2" s="131"/>
      <c r="P2" s="131"/>
    </row>
    <row r="3" spans="1:57" ht="15.75" x14ac:dyDescent="0.3">
      <c r="A3" s="27"/>
      <c r="F3" s="131"/>
      <c r="G3" s="131"/>
      <c r="H3" s="131"/>
      <c r="I3" s="131"/>
      <c r="J3" s="131"/>
      <c r="K3" s="131"/>
      <c r="L3" s="131"/>
      <c r="M3" s="131"/>
      <c r="N3" s="131"/>
      <c r="O3" s="464"/>
      <c r="P3" s="131"/>
    </row>
    <row r="4" spans="1:57" ht="15.75" hidden="1" x14ac:dyDescent="0.3">
      <c r="A4" s="27"/>
      <c r="B4" s="131"/>
      <c r="C4" s="464" t="s">
        <v>431</v>
      </c>
      <c r="D4" s="465" t="e">
        <f>#REF!</f>
        <v>#REF!</v>
      </c>
      <c r="E4" s="466" t="s">
        <v>52</v>
      </c>
      <c r="F4" s="131"/>
      <c r="G4" s="131"/>
      <c r="H4" s="131"/>
      <c r="I4" s="467" t="s">
        <v>432</v>
      </c>
      <c r="J4" s="467"/>
      <c r="K4" s="468"/>
      <c r="L4" s="467" t="s">
        <v>433</v>
      </c>
      <c r="M4" s="468"/>
      <c r="N4" s="131"/>
      <c r="O4" s="464"/>
      <c r="P4" s="131"/>
    </row>
    <row r="5" spans="1:57" ht="3" hidden="1" customHeight="1" thickBot="1" x14ac:dyDescent="0.35">
      <c r="A5" s="27"/>
      <c r="B5" s="131"/>
      <c r="C5" s="464"/>
      <c r="D5" s="131"/>
      <c r="E5" s="466"/>
      <c r="F5" s="131"/>
      <c r="G5" s="131"/>
      <c r="H5" s="131"/>
      <c r="I5" s="131"/>
      <c r="J5" s="131"/>
      <c r="K5" s="131"/>
      <c r="L5" s="131"/>
      <c r="M5" s="131"/>
      <c r="N5" s="131"/>
      <c r="O5" s="131"/>
      <c r="P5" s="131"/>
    </row>
    <row r="6" spans="1:57" ht="15.75" hidden="1" x14ac:dyDescent="0.3">
      <c r="A6" s="27"/>
      <c r="B6" s="131"/>
      <c r="C6" s="464" t="s">
        <v>434</v>
      </c>
      <c r="D6" s="465" t="e">
        <f>#REF!</f>
        <v>#REF!</v>
      </c>
      <c r="E6" s="466"/>
      <c r="F6" s="131"/>
      <c r="G6" s="131"/>
      <c r="H6" s="427"/>
      <c r="I6" s="467" t="s">
        <v>435</v>
      </c>
      <c r="J6" s="467"/>
      <c r="K6" s="468"/>
      <c r="L6" s="467" t="s">
        <v>436</v>
      </c>
      <c r="M6" s="469"/>
      <c r="P6" s="131"/>
    </row>
    <row r="7" spans="1:57" ht="3" hidden="1" customHeight="1" thickBot="1" x14ac:dyDescent="0.35">
      <c r="A7" s="27"/>
      <c r="B7" s="131"/>
      <c r="C7" s="464"/>
      <c r="D7" s="131"/>
      <c r="E7" s="466"/>
      <c r="F7" s="131"/>
      <c r="G7" s="131"/>
      <c r="H7" s="131"/>
      <c r="I7" s="131"/>
      <c r="J7" s="131"/>
      <c r="K7" s="131"/>
      <c r="L7" s="131"/>
      <c r="M7" s="131"/>
      <c r="N7" s="131"/>
      <c r="O7" s="131"/>
      <c r="P7" s="131"/>
    </row>
    <row r="8" spans="1:57" ht="15.75" hidden="1" x14ac:dyDescent="0.3">
      <c r="A8" s="27"/>
      <c r="B8" s="131"/>
      <c r="C8" s="464" t="s">
        <v>437</v>
      </c>
      <c r="D8" s="470" t="e">
        <f>#REF!</f>
        <v>#REF!</v>
      </c>
      <c r="E8" s="466" t="s">
        <v>62</v>
      </c>
      <c r="F8" s="131"/>
      <c r="G8" s="131"/>
      <c r="H8" s="131"/>
      <c r="I8" s="131"/>
      <c r="J8" s="131"/>
      <c r="K8" s="131"/>
      <c r="L8" s="131"/>
      <c r="M8" s="1274"/>
      <c r="N8" s="1275"/>
      <c r="O8" s="204"/>
      <c r="P8" s="131"/>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row>
    <row r="9" spans="1:57" ht="3" hidden="1" customHeight="1" thickBot="1" x14ac:dyDescent="0.35">
      <c r="A9" s="27"/>
      <c r="B9" s="131"/>
      <c r="C9" s="131"/>
      <c r="D9" s="131"/>
      <c r="E9" s="466"/>
      <c r="F9" s="131"/>
      <c r="G9" s="131"/>
      <c r="H9" s="131"/>
      <c r="I9" s="131"/>
      <c r="J9" s="131"/>
      <c r="K9" s="131"/>
      <c r="L9" s="131"/>
      <c r="M9" s="131"/>
      <c r="N9" s="131"/>
      <c r="O9" s="131"/>
      <c r="P9" s="131"/>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row>
    <row r="10" spans="1:57" ht="15.75" hidden="1" customHeight="1" thickBot="1" x14ac:dyDescent="0.4">
      <c r="A10" s="27"/>
      <c r="B10" s="131"/>
      <c r="C10" s="464" t="s">
        <v>438</v>
      </c>
      <c r="D10" s="471" t="e">
        <f>#REF!</f>
        <v>#REF!</v>
      </c>
      <c r="E10" s="466"/>
      <c r="F10" s="131"/>
      <c r="G10" s="131"/>
      <c r="H10" s="131"/>
      <c r="I10" s="131"/>
      <c r="J10" s="131"/>
      <c r="K10" s="131"/>
      <c r="L10" s="131"/>
      <c r="M10" s="131"/>
      <c r="N10" s="467" t="s">
        <v>126</v>
      </c>
      <c r="O10" s="468"/>
      <c r="P10" s="472" t="s">
        <v>439</v>
      </c>
    </row>
    <row r="11" spans="1:57" ht="3.6" hidden="1" customHeight="1" thickBot="1" x14ac:dyDescent="0.35">
      <c r="A11" s="27"/>
      <c r="B11" s="131"/>
      <c r="C11" s="464"/>
      <c r="D11" s="113"/>
      <c r="E11" s="466"/>
      <c r="F11" s="131"/>
      <c r="G11" s="131"/>
      <c r="H11" s="131"/>
      <c r="I11" s="131"/>
      <c r="J11" s="131"/>
      <c r="K11" s="131"/>
      <c r="L11" s="131"/>
      <c r="M11" s="131"/>
      <c r="N11" s="464"/>
      <c r="O11" s="131"/>
      <c r="P11" s="131"/>
    </row>
    <row r="12" spans="1:57" ht="15.75" hidden="1" customHeight="1" thickBot="1" x14ac:dyDescent="0.35">
      <c r="A12" s="27"/>
      <c r="B12" s="131"/>
      <c r="C12" s="464"/>
      <c r="D12" s="113"/>
      <c r="E12" s="466" t="s">
        <v>67</v>
      </c>
      <c r="F12" s="131"/>
      <c r="G12" s="131"/>
      <c r="H12" s="131"/>
      <c r="I12" s="467" t="s">
        <v>432</v>
      </c>
      <c r="J12" s="467"/>
      <c r="K12" s="468"/>
      <c r="L12" s="467" t="s">
        <v>433</v>
      </c>
      <c r="M12" s="468"/>
      <c r="N12" s="464"/>
      <c r="O12" s="131"/>
      <c r="P12" s="131"/>
    </row>
    <row r="13" spans="1:57" ht="3.6" hidden="1" customHeight="1" thickBot="1" x14ac:dyDescent="0.35">
      <c r="A13" s="27"/>
      <c r="B13" s="131"/>
      <c r="C13" s="464"/>
      <c r="D13" s="113"/>
      <c r="E13" s="466"/>
      <c r="F13" s="131"/>
      <c r="G13" s="131"/>
      <c r="H13" s="131"/>
      <c r="I13" s="472"/>
      <c r="J13" s="472"/>
      <c r="K13" s="131"/>
      <c r="L13" s="131"/>
      <c r="M13" s="131"/>
      <c r="N13" s="464"/>
      <c r="O13" s="131"/>
      <c r="P13" s="131"/>
    </row>
    <row r="14" spans="1:57" ht="15.75" hidden="1" customHeight="1" thickBot="1" x14ac:dyDescent="0.35">
      <c r="A14" s="27"/>
      <c r="B14" s="131"/>
      <c r="C14" s="464"/>
      <c r="D14" s="113"/>
      <c r="E14" s="466"/>
      <c r="F14" s="131"/>
      <c r="G14" s="131"/>
      <c r="H14" s="131"/>
      <c r="I14" s="467" t="s">
        <v>435</v>
      </c>
      <c r="J14" s="467"/>
      <c r="K14" s="468"/>
      <c r="L14" s="467" t="s">
        <v>436</v>
      </c>
      <c r="M14" s="469"/>
      <c r="N14" s="464"/>
      <c r="O14" s="131"/>
      <c r="P14" s="131"/>
    </row>
    <row r="15" spans="1:57" ht="3" hidden="1" customHeight="1" thickBot="1" x14ac:dyDescent="0.35">
      <c r="A15" s="27"/>
      <c r="B15" s="131"/>
      <c r="C15" s="464"/>
      <c r="D15" s="113"/>
      <c r="E15" s="466"/>
      <c r="F15" s="131"/>
      <c r="G15" s="113"/>
      <c r="H15" s="113"/>
      <c r="I15" s="113"/>
      <c r="J15" s="113"/>
      <c r="K15" s="119"/>
      <c r="L15" s="119"/>
      <c r="M15" s="119"/>
      <c r="N15" s="464"/>
      <c r="O15" s="131"/>
      <c r="P15" s="131"/>
    </row>
    <row r="16" spans="1:57" ht="15.75" hidden="1" customHeight="1" thickBot="1" x14ac:dyDescent="0.35">
      <c r="A16" s="27"/>
      <c r="B16" s="131"/>
      <c r="C16" s="464"/>
      <c r="D16" s="113"/>
      <c r="E16" s="466"/>
      <c r="F16" s="131"/>
      <c r="G16" s="472" t="s">
        <v>440</v>
      </c>
      <c r="H16" s="131"/>
      <c r="I16" s="473" t="s">
        <v>441</v>
      </c>
      <c r="J16" s="474"/>
      <c r="K16" s="119"/>
      <c r="L16" s="119"/>
      <c r="M16" s="119"/>
      <c r="N16" s="464"/>
      <c r="O16" s="131"/>
      <c r="P16" s="131"/>
    </row>
    <row r="17" spans="1:25" ht="3" hidden="1" customHeight="1" thickBot="1" x14ac:dyDescent="0.35">
      <c r="A17" s="27"/>
      <c r="B17" s="131"/>
      <c r="C17" s="131"/>
      <c r="D17" s="131"/>
      <c r="E17" s="466"/>
      <c r="F17" s="131"/>
      <c r="G17" s="131"/>
      <c r="H17" s="131"/>
      <c r="I17" s="131"/>
      <c r="J17" s="131"/>
      <c r="K17" s="131"/>
      <c r="L17" s="131"/>
      <c r="M17" s="131"/>
      <c r="N17" s="131"/>
      <c r="O17" s="131"/>
      <c r="P17" s="131"/>
    </row>
    <row r="18" spans="1:25" ht="18" hidden="1" x14ac:dyDescent="0.3">
      <c r="A18" s="27"/>
      <c r="B18" s="131"/>
      <c r="C18" s="464" t="s">
        <v>442</v>
      </c>
      <c r="D18" s="469" t="s">
        <v>441</v>
      </c>
      <c r="E18" s="466" t="s">
        <v>74</v>
      </c>
      <c r="F18" s="131"/>
      <c r="G18" s="131"/>
      <c r="H18" s="131"/>
      <c r="I18" s="131"/>
      <c r="J18" s="131"/>
      <c r="K18" s="131"/>
      <c r="L18" s="131"/>
      <c r="M18" s="131"/>
      <c r="N18" s="467" t="s">
        <v>443</v>
      </c>
      <c r="O18" s="468"/>
      <c r="P18" s="131" t="s">
        <v>444</v>
      </c>
    </row>
    <row r="19" spans="1:25" ht="3" hidden="1" customHeight="1" thickBot="1" x14ac:dyDescent="0.35">
      <c r="A19" s="27"/>
      <c r="B19" s="131"/>
      <c r="C19" s="464"/>
      <c r="D19" s="131"/>
      <c r="E19" s="466"/>
      <c r="F19" s="131"/>
      <c r="G19" s="131"/>
      <c r="H19" s="131"/>
      <c r="I19" s="131"/>
      <c r="J19" s="131"/>
      <c r="K19" s="131"/>
      <c r="L19" s="131"/>
      <c r="M19" s="131"/>
      <c r="N19" s="131"/>
      <c r="O19" s="131"/>
      <c r="P19" s="131"/>
    </row>
    <row r="20" spans="1:25" ht="15.75" hidden="1" x14ac:dyDescent="0.3">
      <c r="A20" s="27"/>
      <c r="B20" s="131"/>
      <c r="C20" s="464" t="s">
        <v>445</v>
      </c>
      <c r="D20" s="468"/>
      <c r="E20" s="466" t="s">
        <v>80</v>
      </c>
      <c r="F20" s="131"/>
      <c r="G20" s="131"/>
      <c r="H20" s="131"/>
      <c r="I20" s="131"/>
      <c r="J20" s="131"/>
      <c r="K20" s="1289"/>
      <c r="L20" s="1275"/>
      <c r="M20" s="131"/>
      <c r="N20" s="131"/>
      <c r="O20" s="131"/>
      <c r="P20" s="475"/>
    </row>
    <row r="21" spans="1:25" ht="3" hidden="1" customHeight="1" thickBot="1" x14ac:dyDescent="0.35">
      <c r="A21" s="27"/>
      <c r="B21" s="131"/>
      <c r="C21" s="464"/>
      <c r="D21" s="464"/>
      <c r="E21" s="131"/>
      <c r="F21" s="131"/>
      <c r="G21" s="131"/>
      <c r="H21" s="131"/>
      <c r="I21" s="131"/>
      <c r="J21" s="131"/>
      <c r="K21" s="131"/>
      <c r="L21" s="131"/>
      <c r="M21" s="131"/>
      <c r="N21" s="131"/>
      <c r="O21" s="131"/>
      <c r="P21" s="113"/>
    </row>
    <row r="22" spans="1:25" ht="15.75" hidden="1" x14ac:dyDescent="0.3">
      <c r="A22" s="27"/>
      <c r="B22" s="131"/>
      <c r="C22" s="464" t="s">
        <v>446</v>
      </c>
      <c r="D22" s="468"/>
      <c r="E22" s="464"/>
      <c r="F22" s="131"/>
      <c r="G22" s="131"/>
      <c r="H22" s="131"/>
      <c r="I22" s="131"/>
      <c r="J22" s="131"/>
      <c r="K22" s="131"/>
      <c r="L22" s="131"/>
      <c r="M22" s="131"/>
      <c r="N22" s="131"/>
      <c r="O22" s="131"/>
      <c r="P22" s="113"/>
    </row>
    <row r="23" spans="1:25" ht="15.75" customHeight="1" thickBot="1" x14ac:dyDescent="0.35">
      <c r="A23" s="27"/>
      <c r="B23" s="131"/>
      <c r="C23" s="131"/>
      <c r="D23" s="204"/>
      <c r="E23" s="131"/>
      <c r="F23" s="131"/>
      <c r="G23" s="131"/>
      <c r="H23" s="131"/>
      <c r="I23" s="131"/>
      <c r="J23" s="131"/>
      <c r="K23" s="131"/>
      <c r="L23" s="131"/>
      <c r="M23" s="131"/>
      <c r="N23" s="131"/>
      <c r="O23" s="131"/>
      <c r="P23" s="131"/>
    </row>
    <row r="24" spans="1:25" ht="63.75" x14ac:dyDescent="0.35">
      <c r="A24" s="27"/>
      <c r="B24" s="476" t="s">
        <v>447</v>
      </c>
      <c r="C24" s="477" t="s">
        <v>448</v>
      </c>
      <c r="D24" s="478" t="s">
        <v>449</v>
      </c>
      <c r="E24" s="479" t="s">
        <v>450</v>
      </c>
      <c r="F24" s="480" t="s">
        <v>451</v>
      </c>
      <c r="G24" s="481" t="str">
        <f>C24</f>
        <v>Beräknad enl. relations-handling</v>
      </c>
      <c r="H24" s="482" t="str">
        <f>D24</f>
        <v>Uppmätt/ levererad</v>
      </c>
      <c r="I24" s="482" t="str">
        <f>E24</f>
        <v>Normaliserad med schablon</v>
      </c>
      <c r="J24" s="482" t="str">
        <f>F24</f>
        <v>Normaliserad med upprepad energiberäk-ning</v>
      </c>
      <c r="K24" s="1280" t="s">
        <v>102</v>
      </c>
      <c r="L24" s="1281"/>
      <c r="M24" s="1282"/>
      <c r="T24" s="111"/>
      <c r="U24" s="111"/>
      <c r="V24" s="111"/>
      <c r="W24" s="111"/>
      <c r="X24" s="111"/>
      <c r="Y24" s="111"/>
    </row>
    <row r="25" spans="1:25" ht="16.5" thickBot="1" x14ac:dyDescent="0.35">
      <c r="A25" s="27"/>
      <c r="B25" s="483"/>
      <c r="C25" s="484" t="s">
        <v>252</v>
      </c>
      <c r="D25" s="485" t="s">
        <v>252</v>
      </c>
      <c r="E25" s="486" t="s">
        <v>252</v>
      </c>
      <c r="F25" s="487" t="s">
        <v>252</v>
      </c>
      <c r="G25" s="488" t="s">
        <v>452</v>
      </c>
      <c r="H25" s="486" t="s">
        <v>453</v>
      </c>
      <c r="I25" s="486" t="s">
        <v>453</v>
      </c>
      <c r="J25" s="486" t="s">
        <v>453</v>
      </c>
      <c r="K25" s="489"/>
      <c r="L25" s="490"/>
      <c r="M25" s="491"/>
      <c r="T25" s="111"/>
      <c r="U25" s="111"/>
      <c r="V25" s="111"/>
      <c r="W25" s="111"/>
      <c r="X25" s="111"/>
      <c r="Y25" s="111"/>
    </row>
    <row r="26" spans="1:25" ht="15.75" x14ac:dyDescent="0.3">
      <c r="A26" s="27"/>
      <c r="B26" s="492" t="s">
        <v>454</v>
      </c>
      <c r="C26" s="872">
        <f>'B1. Resultat beräkning'!F5-'B1. Resultat beräkning'!F6</f>
        <v>0</v>
      </c>
      <c r="D26" s="873">
        <f>'C2. Inmatning och verifiering'!AA26</f>
        <v>0</v>
      </c>
      <c r="E26" s="873">
        <f>'C2. Inmatning och verifiering'!AE26</f>
        <v>0</v>
      </c>
      <c r="F26" s="874">
        <f>IF('C3. Normaliseringsunderlag'!E25&gt;0,D26/'C3. Normaliseringsunderlag'!F25,0)</f>
        <v>0</v>
      </c>
      <c r="G26" s="875">
        <f>IFERROR(C26/'A. Byggnadsinfo med BBR'!$D$43,0)</f>
        <v>0</v>
      </c>
      <c r="H26" s="876">
        <f>IFERROR(D26/'A. Byggnadsinfo med BBR'!$E$43,0)</f>
        <v>0</v>
      </c>
      <c r="I26" s="876">
        <f>IFERROR(E26/'A. Byggnadsinfo med BBR'!$E$43,0)</f>
        <v>0</v>
      </c>
      <c r="J26" s="876">
        <f>IFERROR(F26/'A. Byggnadsinfo med BBR'!$E$43,0)</f>
        <v>0</v>
      </c>
      <c r="K26" s="1283"/>
      <c r="L26" s="1283"/>
      <c r="M26" s="1284"/>
      <c r="T26" s="111"/>
      <c r="U26" s="111"/>
      <c r="V26" s="111"/>
      <c r="W26" s="111"/>
      <c r="X26" s="111"/>
      <c r="Y26" s="111"/>
    </row>
    <row r="27" spans="1:25" ht="15.75" x14ac:dyDescent="0.3">
      <c r="A27" s="27"/>
      <c r="B27" s="493" t="s">
        <v>455</v>
      </c>
      <c r="C27" s="877">
        <f>'B1. Resultat beräkning'!F11</f>
        <v>0</v>
      </c>
      <c r="D27" s="878">
        <f>'C2. Inmatning och verifiering'!AI26</f>
        <v>0</v>
      </c>
      <c r="E27" s="877">
        <f>IFERROR('C2. Inmatning och verifiering'!AH5*'C2. Inmatning och verifiering'!W4,0)</f>
        <v>0</v>
      </c>
      <c r="F27" s="879">
        <f>IF('C3. Normaliseringsunderlag'!E26&gt;0,D27/'C3. Normaliseringsunderlag'!F26,0)</f>
        <v>0</v>
      </c>
      <c r="G27" s="880">
        <f>IFERROR(C27/'A. Byggnadsinfo med BBR'!$D$43,0)</f>
        <v>0</v>
      </c>
      <c r="H27" s="881">
        <f>IFERROR(D27/'A. Byggnadsinfo med BBR'!$E$43,0)</f>
        <v>0</v>
      </c>
      <c r="I27" s="876">
        <f>IFERROR(E27/'A. Byggnadsinfo med BBR'!$E$43,0)</f>
        <v>0</v>
      </c>
      <c r="J27" s="876">
        <f>IFERROR(F27/'A. Byggnadsinfo med BBR'!$E$43,0)</f>
        <v>0</v>
      </c>
      <c r="K27" s="1285"/>
      <c r="L27" s="1285"/>
      <c r="M27" s="1286"/>
      <c r="T27" s="111"/>
      <c r="U27" s="111"/>
      <c r="V27" s="111"/>
      <c r="W27" s="111"/>
      <c r="X27" s="111"/>
      <c r="Y27" s="111"/>
    </row>
    <row r="28" spans="1:25" ht="15.75" x14ac:dyDescent="0.3">
      <c r="A28" s="27"/>
      <c r="B28" s="494" t="s">
        <v>114</v>
      </c>
      <c r="C28" s="877">
        <f>'B1. Resultat beräkning'!F6</f>
        <v>0</v>
      </c>
      <c r="D28" s="882">
        <f>'C2. Inmatning och verifiering'!M26+'C2. Inmatning och verifiering'!N26+'C2. Inmatning och verifiering'!O26+'C2. Inmatning och verifiering'!P26</f>
        <v>0</v>
      </c>
      <c r="E28" s="877">
        <f>D28</f>
        <v>0</v>
      </c>
      <c r="F28" s="883">
        <f>D28</f>
        <v>0</v>
      </c>
      <c r="G28" s="880">
        <f>IFERROR(C28/'A. Byggnadsinfo med BBR'!$D$43,0)</f>
        <v>0</v>
      </c>
      <c r="H28" s="881">
        <f>IFERROR(D28/'A. Byggnadsinfo med BBR'!$E$43,0)</f>
        <v>0</v>
      </c>
      <c r="I28" s="876">
        <f>IFERROR(E28/'A. Byggnadsinfo med BBR'!$E$43,0)</f>
        <v>0</v>
      </c>
      <c r="J28" s="876">
        <f>IFERROR(F28/'A. Byggnadsinfo med BBR'!$E$43,0)</f>
        <v>0</v>
      </c>
      <c r="K28" s="1279"/>
      <c r="L28" s="1277"/>
      <c r="M28" s="1278"/>
      <c r="T28" s="111"/>
      <c r="U28" s="111"/>
      <c r="V28" s="111"/>
      <c r="W28" s="111"/>
      <c r="X28" s="111"/>
      <c r="Y28" s="111"/>
    </row>
    <row r="29" spans="1:25" s="111" customFormat="1" ht="15.75" x14ac:dyDescent="0.3">
      <c r="A29" s="495"/>
      <c r="B29" s="494" t="s">
        <v>456</v>
      </c>
      <c r="C29" s="877">
        <f>'B1. Resultat beräkning'!F12</f>
        <v>0</v>
      </c>
      <c r="D29" s="877">
        <f>'C2. Inmatning och verifiering'!AR26</f>
        <v>0</v>
      </c>
      <c r="E29" s="877">
        <f>'C2. Inmatning och verifiering'!AU26</f>
        <v>0</v>
      </c>
      <c r="F29" s="884">
        <f>IF('C3. Normaliseringsunderlag'!E28&gt;0,D29/'C3. Normaliseringsunderlag'!F28,0)</f>
        <v>0</v>
      </c>
      <c r="G29" s="880">
        <f>IFERROR(C29/'A. Byggnadsinfo med BBR'!$D$43,0)</f>
        <v>0</v>
      </c>
      <c r="H29" s="881">
        <f>IFERROR(D29/'A. Byggnadsinfo med BBR'!$E$43,0)</f>
        <v>0</v>
      </c>
      <c r="I29" s="876">
        <f>IFERROR(E29/'A. Byggnadsinfo med BBR'!$E$43,0)</f>
        <v>0</v>
      </c>
      <c r="J29" s="876">
        <f>IFERROR(F29/'A. Byggnadsinfo med BBR'!$E$43,0)</f>
        <v>0</v>
      </c>
      <c r="K29" s="1287"/>
      <c r="L29" s="1287"/>
      <c r="M29" s="1288"/>
    </row>
    <row r="30" spans="1:25" s="111" customFormat="1" ht="15.75" x14ac:dyDescent="0.3">
      <c r="A30" s="495"/>
      <c r="B30" s="494" t="s">
        <v>457</v>
      </c>
      <c r="C30" s="877">
        <f>'B1. Resultat beräkning'!F14</f>
        <v>0</v>
      </c>
      <c r="D30" s="877">
        <f>'C2. Inmatning och verifiering'!AQ26</f>
        <v>0</v>
      </c>
      <c r="E30" s="877">
        <f>'C2. Inmatning och verifiering'!AT26</f>
        <v>0</v>
      </c>
      <c r="F30" s="884">
        <f>IF('C3. Normaliseringsunderlag'!E29&gt;0,D30/'C3. Normaliseringsunderlag'!F29,0)</f>
        <v>0</v>
      </c>
      <c r="G30" s="880">
        <f>IFERROR(C30/'A. Byggnadsinfo med BBR'!$D$43,0)</f>
        <v>0</v>
      </c>
      <c r="H30" s="881">
        <f>IFERROR(D30/'A. Byggnadsinfo med BBR'!$E$43,0)</f>
        <v>0</v>
      </c>
      <c r="I30" s="876">
        <f>IFERROR(E30/'A. Byggnadsinfo med BBR'!$E$43,0)</f>
        <v>0</v>
      </c>
      <c r="J30" s="876">
        <f>IFERROR(F30/'A. Byggnadsinfo med BBR'!$E$43,0)</f>
        <v>0</v>
      </c>
      <c r="K30" s="1279"/>
      <c r="L30" s="1277"/>
      <c r="M30" s="1278"/>
    </row>
    <row r="31" spans="1:25" ht="15.75" x14ac:dyDescent="0.3">
      <c r="A31" s="27"/>
      <c r="B31" s="493" t="s">
        <v>458</v>
      </c>
      <c r="C31" s="877">
        <f>'B1. Resultat beräkning'!F16</f>
        <v>0</v>
      </c>
      <c r="D31" s="882">
        <f>'C2. Inmatning och verifiering'!AK26</f>
        <v>0</v>
      </c>
      <c r="E31" s="877">
        <f>D31</f>
        <v>0</v>
      </c>
      <c r="F31" s="884">
        <f>IF('C3. Normaliseringsunderlag'!E30&gt;0,D31/'C3. Normaliseringsunderlag'!F30,0)</f>
        <v>0</v>
      </c>
      <c r="G31" s="880">
        <f>IFERROR(C31/'A. Byggnadsinfo med BBR'!$D$43,0)</f>
        <v>0</v>
      </c>
      <c r="H31" s="881">
        <f>IFERROR(D31/'A. Byggnadsinfo med BBR'!$E$43,0)</f>
        <v>0</v>
      </c>
      <c r="I31" s="876">
        <f>IFERROR(E31/'A. Byggnadsinfo med BBR'!$E$43,0)</f>
        <v>0</v>
      </c>
      <c r="J31" s="876">
        <f>IFERROR(F31/'A. Byggnadsinfo med BBR'!$E$43,0)</f>
        <v>0</v>
      </c>
      <c r="K31" s="1287"/>
      <c r="L31" s="1287"/>
      <c r="M31" s="1288"/>
      <c r="T31" s="111"/>
      <c r="U31" s="111"/>
      <c r="V31" s="111"/>
      <c r="W31" s="111"/>
      <c r="X31" s="111"/>
      <c r="Y31" s="111"/>
    </row>
    <row r="32" spans="1:25" ht="15.75" customHeight="1" x14ac:dyDescent="0.3">
      <c r="A32" s="27"/>
      <c r="B32" s="493"/>
      <c r="C32" s="885"/>
      <c r="D32" s="885"/>
      <c r="E32" s="885"/>
      <c r="F32" s="886"/>
      <c r="G32" s="887"/>
      <c r="H32" s="888"/>
      <c r="I32" s="888"/>
      <c r="J32" s="889"/>
      <c r="K32" s="1276"/>
      <c r="L32" s="1277"/>
      <c r="M32" s="1278"/>
      <c r="T32" s="111"/>
      <c r="U32" s="111"/>
      <c r="V32" s="111"/>
      <c r="W32" s="111"/>
      <c r="X32" s="111"/>
      <c r="Y32" s="111"/>
    </row>
    <row r="33" spans="1:25" ht="15.75" x14ac:dyDescent="0.3">
      <c r="A33" s="27"/>
      <c r="B33" s="493"/>
      <c r="C33" s="890"/>
      <c r="D33" s="890"/>
      <c r="E33" s="891"/>
      <c r="F33" s="892"/>
      <c r="G33" s="893"/>
      <c r="H33" s="894"/>
      <c r="I33" s="895"/>
      <c r="J33" s="895"/>
      <c r="K33" s="1285"/>
      <c r="L33" s="1285"/>
      <c r="M33" s="1286"/>
      <c r="T33" s="111"/>
      <c r="U33" s="111"/>
      <c r="V33" s="111"/>
      <c r="W33" s="111"/>
      <c r="X33" s="111"/>
      <c r="Y33" s="111"/>
    </row>
    <row r="34" spans="1:25" ht="15.75" customHeight="1" x14ac:dyDescent="0.3">
      <c r="A34" s="27"/>
      <c r="B34" s="496"/>
      <c r="C34" s="885"/>
      <c r="D34" s="885"/>
      <c r="E34" s="885"/>
      <c r="F34" s="892"/>
      <c r="G34" s="887"/>
      <c r="H34" s="895"/>
      <c r="I34" s="895"/>
      <c r="J34" s="896"/>
      <c r="K34" s="1290"/>
      <c r="L34" s="1291"/>
      <c r="M34" s="1292"/>
      <c r="T34" s="111"/>
      <c r="U34" s="111"/>
      <c r="V34" s="111"/>
      <c r="W34" s="111"/>
      <c r="X34" s="111"/>
      <c r="Y34" s="111"/>
    </row>
    <row r="35" spans="1:25" ht="15.75" x14ac:dyDescent="0.3">
      <c r="A35" s="27"/>
      <c r="B35" s="493" t="s">
        <v>459</v>
      </c>
      <c r="C35" s="897">
        <f>'B1. Resultat beräkning'!F21+'B1. Resultat beräkning'!F18</f>
        <v>0</v>
      </c>
      <c r="D35" s="898">
        <f>'C2. Inmatning och verifiering'!AN26</f>
        <v>0</v>
      </c>
      <c r="E35" s="899"/>
      <c r="F35" s="900"/>
      <c r="G35" s="880">
        <f>IFERROR(C35/'A. Byggnadsinfo med BBR'!$D$43,0)</f>
        <v>0</v>
      </c>
      <c r="H35" s="880">
        <f>IFERROR(D35/'A. Byggnadsinfo med BBR'!$E$43,0)</f>
        <v>0</v>
      </c>
      <c r="I35" s="895"/>
      <c r="J35" s="901"/>
      <c r="K35" s="1276"/>
      <c r="L35" s="1285"/>
      <c r="M35" s="1286"/>
      <c r="T35" s="111"/>
      <c r="U35" s="111"/>
      <c r="V35" s="111"/>
      <c r="W35" s="427" t="s">
        <v>460</v>
      </c>
      <c r="X35" s="427" t="s">
        <v>461</v>
      </c>
      <c r="Y35" s="427"/>
    </row>
    <row r="36" spans="1:25" ht="15.75" x14ac:dyDescent="0.3">
      <c r="A36" s="27"/>
      <c r="B36" s="494" t="s">
        <v>462</v>
      </c>
      <c r="C36" s="902"/>
      <c r="D36" s="898">
        <f>'C2. Inmatning och verifiering'!$AX$26</f>
        <v>0</v>
      </c>
      <c r="E36" s="885"/>
      <c r="F36" s="886"/>
      <c r="G36" s="880">
        <f>IFERROR(C36/'A. Byggnadsinfo med BBR'!$D$43,0)</f>
        <v>0</v>
      </c>
      <c r="H36" s="880">
        <f>IFERROR(D36/'A. Byggnadsinfo med BBR'!$E$43,0)</f>
        <v>0</v>
      </c>
      <c r="I36" s="903"/>
      <c r="J36" s="904"/>
      <c r="K36" s="1276"/>
      <c r="L36" s="1285"/>
      <c r="M36" s="1286"/>
      <c r="T36" s="111"/>
      <c r="U36" s="111"/>
      <c r="V36" s="111"/>
      <c r="W36" s="427"/>
      <c r="X36" s="427"/>
      <c r="Y36" s="427"/>
    </row>
    <row r="37" spans="1:25" ht="15.75" x14ac:dyDescent="0.3">
      <c r="A37" s="27"/>
      <c r="B37" s="494" t="s">
        <v>463</v>
      </c>
      <c r="C37" s="905"/>
      <c r="D37" s="882">
        <f>'C2. Inmatning och verifiering'!AM26</f>
        <v>0</v>
      </c>
      <c r="E37" s="885"/>
      <c r="F37" s="892"/>
      <c r="G37" s="880">
        <f>IFERROR(C37/'A. Byggnadsinfo med BBR'!$D$43,0)</f>
        <v>0</v>
      </c>
      <c r="H37" s="880">
        <f>IFERROR(D37/'A. Byggnadsinfo med BBR'!$E$43,0)</f>
        <v>0</v>
      </c>
      <c r="I37" s="903"/>
      <c r="J37" s="895"/>
      <c r="K37" s="1301"/>
      <c r="L37" s="1302"/>
      <c r="M37" s="1303"/>
      <c r="T37" s="111"/>
      <c r="U37" s="111"/>
      <c r="V37" s="111"/>
      <c r="W37" s="427" t="s">
        <v>464</v>
      </c>
      <c r="X37" s="427" t="s">
        <v>465</v>
      </c>
      <c r="Y37" s="427"/>
    </row>
    <row r="38" spans="1:25" ht="15.75" x14ac:dyDescent="0.3">
      <c r="A38" s="27"/>
      <c r="B38" s="497" t="s">
        <v>466</v>
      </c>
      <c r="C38" s="906"/>
      <c r="D38" s="907">
        <f>'C2. Inmatning och verifiering'!$AG$26</f>
        <v>0</v>
      </c>
      <c r="E38" s="908"/>
      <c r="F38" s="909"/>
      <c r="G38" s="880">
        <f>IFERROR(C38/'A. Byggnadsinfo med BBR'!$D$43,0)</f>
        <v>0</v>
      </c>
      <c r="H38" s="880">
        <f>IFERROR(D38/'A. Byggnadsinfo med BBR'!$E$43,0)</f>
        <v>0</v>
      </c>
      <c r="I38" s="910"/>
      <c r="J38" s="911"/>
      <c r="K38" s="1304"/>
      <c r="L38" s="1305"/>
      <c r="M38" s="1306"/>
      <c r="O38" s="111" t="s">
        <v>121</v>
      </c>
      <c r="T38" s="111"/>
      <c r="U38" s="111"/>
      <c r="V38" s="111"/>
      <c r="W38" s="427" t="s">
        <v>467</v>
      </c>
      <c r="X38" s="427" t="s">
        <v>468</v>
      </c>
      <c r="Y38" s="427"/>
    </row>
    <row r="39" spans="1:25" ht="15.75" x14ac:dyDescent="0.3">
      <c r="A39" s="27"/>
      <c r="B39" s="498" t="s">
        <v>469</v>
      </c>
      <c r="C39" s="499">
        <f>SUM(C26:C31)</f>
        <v>0</v>
      </c>
      <c r="D39" s="500">
        <f>SUM(D26:D31)</f>
        <v>0</v>
      </c>
      <c r="E39" s="500">
        <f>SUM(E26:E31)</f>
        <v>0</v>
      </c>
      <c r="F39" s="501">
        <f>SUM(F26:F31)</f>
        <v>0</v>
      </c>
      <c r="G39" s="502">
        <f>IFERROR(C39/'A. Byggnadsinfo med BBR'!$D$43,0)</f>
        <v>0</v>
      </c>
      <c r="H39" s="503">
        <f>IFERROR(D39/'A. Byggnadsinfo med BBR'!$E$43,0)</f>
        <v>0</v>
      </c>
      <c r="I39" s="503">
        <f>IFERROR(E39/'A. Byggnadsinfo med BBR'!$E$43,0)</f>
        <v>0</v>
      </c>
      <c r="J39" s="503">
        <f>IFERROR(F39/'A. Byggnadsinfo med BBR'!$E$43,0)</f>
        <v>0</v>
      </c>
      <c r="K39" s="1298"/>
      <c r="L39" s="1299"/>
      <c r="M39" s="1300"/>
      <c r="O39" s="111" t="s">
        <v>470</v>
      </c>
      <c r="T39" s="111"/>
      <c r="U39" s="111"/>
      <c r="V39" s="111"/>
      <c r="W39" s="427" t="s">
        <v>471</v>
      </c>
      <c r="X39" s="427" t="s">
        <v>472</v>
      </c>
      <c r="Y39" s="427"/>
    </row>
    <row r="40" spans="1:25" x14ac:dyDescent="0.25">
      <c r="A40" s="27"/>
      <c r="T40" s="111"/>
      <c r="U40" s="111"/>
      <c r="V40" s="111"/>
      <c r="W40" s="427" t="s">
        <v>473</v>
      </c>
      <c r="X40" s="427" t="s">
        <v>474</v>
      </c>
      <c r="Y40" s="427"/>
    </row>
    <row r="41" spans="1:25" ht="66.75" customHeight="1" x14ac:dyDescent="0.35">
      <c r="A41" s="27"/>
      <c r="B41" s="476" t="s">
        <v>475</v>
      </c>
      <c r="C41" s="479" t="str">
        <f t="shared" ref="C41:J41" si="0">C24</f>
        <v>Beräknad enl. relations-handling</v>
      </c>
      <c r="D41" s="479" t="str">
        <f t="shared" si="0"/>
        <v>Uppmätt/ levererad</v>
      </c>
      <c r="E41" s="479" t="str">
        <f t="shared" si="0"/>
        <v>Normaliserad med schablon</v>
      </c>
      <c r="F41" s="480" t="str">
        <f t="shared" si="0"/>
        <v>Normaliserad med upprepad energiberäk-ning</v>
      </c>
      <c r="G41" s="504" t="str">
        <f t="shared" si="0"/>
        <v>Beräknad enl. relations-handling</v>
      </c>
      <c r="H41" s="479" t="str">
        <f t="shared" si="0"/>
        <v>Uppmätt/ levererad</v>
      </c>
      <c r="I41" s="479" t="str">
        <f t="shared" si="0"/>
        <v>Normaliserad med schablon</v>
      </c>
      <c r="J41" s="479" t="str">
        <f t="shared" si="0"/>
        <v>Normaliserad med upprepad energiberäk-ning</v>
      </c>
      <c r="K41" s="1293" t="s">
        <v>102</v>
      </c>
      <c r="L41" s="1293"/>
      <c r="M41" s="1294"/>
      <c r="T41" s="111"/>
      <c r="U41" s="111"/>
      <c r="V41" s="111"/>
      <c r="W41" s="427"/>
      <c r="X41" s="427" t="s">
        <v>131</v>
      </c>
      <c r="Y41" s="427"/>
    </row>
    <row r="42" spans="1:25" ht="16.5" thickBot="1" x14ac:dyDescent="0.35">
      <c r="A42" s="27"/>
      <c r="B42" s="505"/>
      <c r="C42" s="486" t="s">
        <v>252</v>
      </c>
      <c r="D42" s="486" t="s">
        <v>252</v>
      </c>
      <c r="E42" s="486" t="s">
        <v>252</v>
      </c>
      <c r="F42" s="506" t="s">
        <v>252</v>
      </c>
      <c r="G42" s="507" t="s">
        <v>453</v>
      </c>
      <c r="H42" s="508" t="s">
        <v>453</v>
      </c>
      <c r="I42" s="508" t="s">
        <v>453</v>
      </c>
      <c r="J42" s="486" t="s">
        <v>453</v>
      </c>
      <c r="K42" s="1295"/>
      <c r="L42" s="1296"/>
      <c r="M42" s="1297"/>
      <c r="T42" s="111"/>
      <c r="U42" s="111"/>
      <c r="V42" s="111"/>
      <c r="W42" s="111"/>
      <c r="X42" s="111"/>
      <c r="Y42" s="111"/>
    </row>
    <row r="43" spans="1:25" ht="15.75" x14ac:dyDescent="0.3">
      <c r="A43" s="27"/>
      <c r="B43" s="509" t="str">
        <f>B26</f>
        <v>Värme exkl. tappvarmvatten och VVC</v>
      </c>
      <c r="C43" s="912">
        <f>C26</f>
        <v>0</v>
      </c>
      <c r="D43" s="873">
        <f>'C2. Inmatning och verifiering'!AA40</f>
        <v>0</v>
      </c>
      <c r="E43" s="873">
        <f>'C2. Inmatning och verifiering'!AE40</f>
        <v>0</v>
      </c>
      <c r="F43" s="913">
        <f>IF('C3. Normaliseringsunderlag'!E53&gt;0,D43/'C3. Normaliseringsunderlag'!F53,0)</f>
        <v>0</v>
      </c>
      <c r="G43" s="914">
        <f>IFERROR(C43/'A. Byggnadsinfo med BBR'!$E$43,0)</f>
        <v>0</v>
      </c>
      <c r="H43" s="914">
        <f>IFERROR(D43/'A. Byggnadsinfo med BBR'!$E$43,0)</f>
        <v>0</v>
      </c>
      <c r="I43" s="914">
        <f>IFERROR(E43/'A. Byggnadsinfo med BBR'!$E$43,0)</f>
        <v>0</v>
      </c>
      <c r="J43" s="914">
        <f>IFERROR(F43/'A. Byggnadsinfo med BBR'!$E$43,0)</f>
        <v>0</v>
      </c>
      <c r="K43" s="1309"/>
      <c r="L43" s="1283"/>
      <c r="M43" s="1284"/>
      <c r="T43" s="111"/>
      <c r="U43" s="111"/>
      <c r="V43" s="111"/>
      <c r="W43" s="111"/>
      <c r="X43" s="111"/>
      <c r="Y43" s="111"/>
    </row>
    <row r="44" spans="1:25" ht="15.75" x14ac:dyDescent="0.3">
      <c r="B44" s="510" t="str">
        <f t="shared" ref="B44:C55" si="1">B27</f>
        <v>Tappvarmvatten</v>
      </c>
      <c r="C44" s="912">
        <f t="shared" si="1"/>
        <v>0</v>
      </c>
      <c r="D44" s="882">
        <f>'C2. Inmatning och verifiering'!AI40</f>
        <v>0</v>
      </c>
      <c r="E44" s="882">
        <f>IFERROR('C2. Inmatning och verifiering'!AH6*'C2. Inmatning och verifiering'!W4,0)</f>
        <v>0</v>
      </c>
      <c r="F44" s="915">
        <f>IF('C3. Normaliseringsunderlag'!E54&gt;0,D44/'C3. Normaliseringsunderlag'!F54,0)</f>
        <v>0</v>
      </c>
      <c r="G44" s="914">
        <f>IFERROR(C44/'A. Byggnadsinfo med BBR'!$E$43,0)</f>
        <v>0</v>
      </c>
      <c r="H44" s="914">
        <f>IFERROR(D44/'A. Byggnadsinfo med BBR'!$E$43,0)</f>
        <v>0</v>
      </c>
      <c r="I44" s="914">
        <f>IFERROR(E44/'A. Byggnadsinfo med BBR'!$E$43,0)</f>
        <v>0</v>
      </c>
      <c r="J44" s="914">
        <f>IFERROR(F44/'A. Byggnadsinfo med BBR'!$E$43,0)</f>
        <v>0</v>
      </c>
      <c r="K44" s="1301"/>
      <c r="L44" s="1302"/>
      <c r="M44" s="1303"/>
      <c r="T44" s="111"/>
      <c r="U44" s="111"/>
      <c r="V44" s="111"/>
      <c r="W44" s="111"/>
      <c r="X44" s="111"/>
      <c r="Y44" s="111"/>
    </row>
    <row r="45" spans="1:25" ht="15.75" x14ac:dyDescent="0.3">
      <c r="B45" s="510" t="str">
        <f t="shared" si="1"/>
        <v>VVC-förluster</v>
      </c>
      <c r="C45" s="912">
        <f t="shared" si="1"/>
        <v>0</v>
      </c>
      <c r="D45" s="882">
        <f>'C2. Inmatning och verifiering'!M40+'C2. Inmatning och verifiering'!N40+'C2. Inmatning och verifiering'!O40+'C2. Inmatning och verifiering'!P40</f>
        <v>0</v>
      </c>
      <c r="E45" s="882">
        <f>D45</f>
        <v>0</v>
      </c>
      <c r="F45" s="915">
        <f>D45</f>
        <v>0</v>
      </c>
      <c r="G45" s="914">
        <f>IFERROR(C45/'A. Byggnadsinfo med BBR'!$E$43,0)</f>
        <v>0</v>
      </c>
      <c r="H45" s="914">
        <f>IFERROR(D45/'A. Byggnadsinfo med BBR'!$E$43,0)</f>
        <v>0</v>
      </c>
      <c r="I45" s="914">
        <f>IFERROR(E45/'A. Byggnadsinfo med BBR'!$E$43,0)</f>
        <v>0</v>
      </c>
      <c r="J45" s="914">
        <f>IFERROR(F45/'A. Byggnadsinfo med BBR'!$E$43,0)</f>
        <v>0</v>
      </c>
      <c r="K45" s="1301"/>
      <c r="L45" s="1302"/>
      <c r="M45" s="1303"/>
      <c r="T45" s="111"/>
      <c r="U45" s="111"/>
      <c r="V45" s="111"/>
      <c r="W45" s="111"/>
      <c r="X45" s="111"/>
      <c r="Y45" s="111"/>
    </row>
    <row r="46" spans="1:25" ht="15.75" x14ac:dyDescent="0.3">
      <c r="B46" s="510" t="str">
        <f t="shared" si="1"/>
        <v>Elkomfortkyla</v>
      </c>
      <c r="C46" s="912">
        <f t="shared" si="1"/>
        <v>0</v>
      </c>
      <c r="D46" s="882">
        <f>'C2. Inmatning och verifiering'!AR40</f>
        <v>0</v>
      </c>
      <c r="E46" s="882">
        <f>'C2. Inmatning och verifiering'!AU40</f>
        <v>0</v>
      </c>
      <c r="F46" s="915">
        <f>IF('C3. Normaliseringsunderlag'!E56&gt;0,D46/'C3. Normaliseringsunderlag'!F56,0)</f>
        <v>0</v>
      </c>
      <c r="G46" s="914">
        <f>IFERROR(C46/'A. Byggnadsinfo med BBR'!$E$43,0)</f>
        <v>0</v>
      </c>
      <c r="H46" s="914">
        <f>IFERROR(D46/'A. Byggnadsinfo med BBR'!$E$43,0)</f>
        <v>0</v>
      </c>
      <c r="I46" s="914">
        <f>IFERROR(E46/'A. Byggnadsinfo med BBR'!$E$43,0)</f>
        <v>0</v>
      </c>
      <c r="J46" s="914">
        <f>IFERROR(F46/'A. Byggnadsinfo med BBR'!$E$43,0)</f>
        <v>0</v>
      </c>
      <c r="K46" s="1301"/>
      <c r="L46" s="1302"/>
      <c r="M46" s="1303"/>
      <c r="T46" s="111"/>
      <c r="U46" s="111"/>
      <c r="V46" s="111"/>
      <c r="W46" s="111"/>
      <c r="X46" s="111"/>
      <c r="Y46" s="111"/>
    </row>
    <row r="47" spans="1:25" ht="15.75" x14ac:dyDescent="0.3">
      <c r="B47" s="510" t="str">
        <f t="shared" si="1"/>
        <v>Fjärrkomfortkyla</v>
      </c>
      <c r="C47" s="912">
        <f t="shared" si="1"/>
        <v>0</v>
      </c>
      <c r="D47" s="882">
        <f>'C2. Inmatning och verifiering'!AQ40</f>
        <v>0</v>
      </c>
      <c r="E47" s="882">
        <f>'C2. Inmatning och verifiering'!AT40</f>
        <v>0</v>
      </c>
      <c r="F47" s="915">
        <f>IF('C3. Normaliseringsunderlag'!E57&gt;0,D47/'C3. Normaliseringsunderlag'!F57,0)</f>
        <v>0</v>
      </c>
      <c r="G47" s="914">
        <f>IFERROR(C47/'A. Byggnadsinfo med BBR'!$E$43,0)</f>
        <v>0</v>
      </c>
      <c r="H47" s="914">
        <f>IFERROR(D47/'A. Byggnadsinfo med BBR'!$E$43,0)</f>
        <v>0</v>
      </c>
      <c r="I47" s="914">
        <f>IFERROR(E47/'A. Byggnadsinfo med BBR'!$E$43,0)</f>
        <v>0</v>
      </c>
      <c r="J47" s="914">
        <f>IFERROR(F47/'A. Byggnadsinfo med BBR'!$E$43,0)</f>
        <v>0</v>
      </c>
      <c r="K47" s="1276"/>
      <c r="L47" s="1285"/>
      <c r="M47" s="1286"/>
      <c r="T47" s="111"/>
      <c r="U47" s="111"/>
      <c r="V47" s="111"/>
      <c r="W47" s="111"/>
      <c r="X47" s="111"/>
      <c r="Y47" s="111"/>
    </row>
    <row r="48" spans="1:25" ht="16.5" customHeight="1" x14ac:dyDescent="0.3">
      <c r="B48" s="510" t="str">
        <f t="shared" si="1"/>
        <v>Driftel exkl. värme och kyla</v>
      </c>
      <c r="C48" s="912">
        <f t="shared" si="1"/>
        <v>0</v>
      </c>
      <c r="D48" s="882">
        <f>'C2. Inmatning och verifiering'!AK40</f>
        <v>0</v>
      </c>
      <c r="E48" s="882">
        <f>D48</f>
        <v>0</v>
      </c>
      <c r="F48" s="915">
        <f>IF('C3. Normaliseringsunderlag'!E58&gt;0,D48/'C3. Normaliseringsunderlag'!F58,0)</f>
        <v>0</v>
      </c>
      <c r="G48" s="914">
        <f>IFERROR(C48/'A. Byggnadsinfo med BBR'!$E$43,0)</f>
        <v>0</v>
      </c>
      <c r="H48" s="914">
        <f>IFERROR(D48/'A. Byggnadsinfo med BBR'!$E$43,0)</f>
        <v>0</v>
      </c>
      <c r="I48" s="914">
        <f>IFERROR(E48/'A. Byggnadsinfo med BBR'!$E$43,0)</f>
        <v>0</v>
      </c>
      <c r="J48" s="914">
        <f>IFERROR(F48/'A. Byggnadsinfo med BBR'!$E$43,0)</f>
        <v>0</v>
      </c>
      <c r="K48" s="1301"/>
      <c r="L48" s="1302"/>
      <c r="M48" s="1303"/>
      <c r="T48" s="111"/>
      <c r="U48" s="111"/>
      <c r="V48" s="111"/>
      <c r="W48" s="111"/>
      <c r="X48" s="111"/>
      <c r="Y48" s="111"/>
    </row>
    <row r="49" spans="2:25" ht="16.5" customHeight="1" x14ac:dyDescent="0.3">
      <c r="B49" s="510">
        <f t="shared" si="1"/>
        <v>0</v>
      </c>
      <c r="C49" s="916"/>
      <c r="D49" s="885"/>
      <c r="E49" s="885"/>
      <c r="F49" s="917"/>
      <c r="G49" s="901"/>
      <c r="H49" s="895"/>
      <c r="I49" s="895"/>
      <c r="J49" s="918"/>
      <c r="K49" s="1310"/>
      <c r="L49" s="1311"/>
      <c r="M49" s="1312"/>
      <c r="T49" s="111"/>
      <c r="U49" s="111"/>
      <c r="V49" s="111"/>
      <c r="W49" s="111"/>
      <c r="X49" s="111"/>
      <c r="Y49" s="111"/>
    </row>
    <row r="50" spans="2:25" ht="15.75" customHeight="1" x14ac:dyDescent="0.3">
      <c r="B50" s="510">
        <f t="shared" si="1"/>
        <v>0</v>
      </c>
      <c r="C50" s="916"/>
      <c r="D50" s="885"/>
      <c r="E50" s="899"/>
      <c r="F50" s="917"/>
      <c r="G50" s="919"/>
      <c r="H50" s="920"/>
      <c r="I50" s="903"/>
      <c r="J50" s="921"/>
      <c r="K50" s="1301"/>
      <c r="L50" s="1302"/>
      <c r="M50" s="1303"/>
      <c r="T50" s="111"/>
      <c r="U50" s="111"/>
      <c r="V50" s="111"/>
      <c r="W50" s="111"/>
      <c r="X50" s="111"/>
      <c r="Y50" s="111"/>
    </row>
    <row r="51" spans="2:25" ht="16.5" customHeight="1" x14ac:dyDescent="0.3">
      <c r="B51" s="510">
        <f t="shared" si="1"/>
        <v>0</v>
      </c>
      <c r="C51" s="916"/>
      <c r="D51" s="885"/>
      <c r="E51" s="885"/>
      <c r="F51" s="917"/>
      <c r="G51" s="901"/>
      <c r="H51" s="895"/>
      <c r="I51" s="895"/>
      <c r="J51" s="918"/>
      <c r="K51" s="1276"/>
      <c r="L51" s="1285"/>
      <c r="M51" s="1286"/>
      <c r="T51" s="111"/>
      <c r="U51" s="111"/>
      <c r="V51" s="111"/>
      <c r="W51" s="111"/>
      <c r="X51" s="111"/>
      <c r="Y51" s="111"/>
    </row>
    <row r="52" spans="2:25" ht="15.75" x14ac:dyDescent="0.3">
      <c r="B52" s="510" t="str">
        <f t="shared" si="1"/>
        <v>Verksamhetsenergi/hushållsenergi</v>
      </c>
      <c r="C52" s="922">
        <f>'B1. Resultat beräkning'!F21+'B1. Resultat beräkning'!F18</f>
        <v>0</v>
      </c>
      <c r="D52" s="882">
        <f>'C2. Inmatning och verifiering'!AN40</f>
        <v>0</v>
      </c>
      <c r="E52" s="899"/>
      <c r="F52" s="917"/>
      <c r="G52" s="923">
        <f>IFERROR(C52/'A. Byggnadsinfo med BBR'!$E$43,0)</f>
        <v>0</v>
      </c>
      <c r="H52" s="923">
        <f>IFERROR(D52/'A. Byggnadsinfo med BBR'!$E$43,0)</f>
        <v>0</v>
      </c>
      <c r="I52" s="903"/>
      <c r="J52" s="895"/>
      <c r="K52" s="1301"/>
      <c r="L52" s="1302"/>
      <c r="M52" s="1303"/>
      <c r="T52" s="111"/>
      <c r="U52" s="111"/>
      <c r="V52" s="111"/>
      <c r="W52" s="111"/>
      <c r="X52" s="111"/>
      <c r="Y52" s="111"/>
    </row>
    <row r="53" spans="2:25" ht="15.75" x14ac:dyDescent="0.3">
      <c r="B53" s="510" t="str">
        <f t="shared" si="1"/>
        <v>Frikyla</v>
      </c>
      <c r="C53" s="924"/>
      <c r="D53" s="882">
        <f>'C2. Inmatning och verifiering'!$AX$40</f>
        <v>0</v>
      </c>
      <c r="E53" s="885"/>
      <c r="F53" s="917"/>
      <c r="G53" s="923">
        <f>IFERROR(C53/'A. Byggnadsinfo med BBR'!$E$43,0)</f>
        <v>0</v>
      </c>
      <c r="H53" s="923">
        <f>IFERROR(D53/'A. Byggnadsinfo med BBR'!$E$43,0)</f>
        <v>0</v>
      </c>
      <c r="I53" s="903"/>
      <c r="J53" s="895"/>
      <c r="K53" s="1301"/>
      <c r="L53" s="1302"/>
      <c r="M53" s="1303"/>
      <c r="T53" s="111"/>
      <c r="U53" s="111"/>
      <c r="V53" s="111"/>
      <c r="W53" s="111"/>
      <c r="X53" s="111"/>
      <c r="Y53" s="111"/>
    </row>
    <row r="54" spans="2:25" ht="15.75" x14ac:dyDescent="0.3">
      <c r="B54" s="510" t="str">
        <f t="shared" si="1"/>
        <v>Egenproducerad el</v>
      </c>
      <c r="C54" s="924"/>
      <c r="D54" s="882">
        <f>'C2. Inmatning och verifiering'!AM40</f>
        <v>0</v>
      </c>
      <c r="E54" s="885"/>
      <c r="F54" s="917"/>
      <c r="G54" s="923">
        <f>IFERROR(C54/'A. Byggnadsinfo med BBR'!$E$43,0)</f>
        <v>0</v>
      </c>
      <c r="H54" s="923">
        <f>IFERROR(D54/'A. Byggnadsinfo med BBR'!$E$43,0)</f>
        <v>0</v>
      </c>
      <c r="I54" s="903"/>
      <c r="J54" s="895"/>
      <c r="K54" s="1301"/>
      <c r="L54" s="1302"/>
      <c r="M54" s="1303"/>
      <c r="T54" s="111"/>
      <c r="U54" s="111"/>
      <c r="V54" s="111"/>
      <c r="W54" s="111"/>
      <c r="X54" s="111"/>
      <c r="Y54" s="111"/>
    </row>
    <row r="55" spans="2:25" ht="15.75" x14ac:dyDescent="0.3">
      <c r="B55" s="511" t="str">
        <f t="shared" si="1"/>
        <v>Solvärme</v>
      </c>
      <c r="C55" s="925"/>
      <c r="D55" s="907">
        <f>'C2. Inmatning och verifiering'!$AG$40</f>
        <v>0</v>
      </c>
      <c r="E55" s="908"/>
      <c r="F55" s="926"/>
      <c r="G55" s="923">
        <f>IFERROR(C55/'A. Byggnadsinfo med BBR'!$E$43,0)</f>
        <v>0</v>
      </c>
      <c r="H55" s="923">
        <f>IFERROR(D55/'A. Byggnadsinfo med BBR'!$E$43,0)</f>
        <v>0</v>
      </c>
      <c r="I55" s="910"/>
      <c r="J55" s="911"/>
      <c r="K55" s="1304"/>
      <c r="L55" s="1305"/>
      <c r="M55" s="1306"/>
      <c r="T55" s="111"/>
      <c r="U55" s="111"/>
      <c r="V55" s="111"/>
      <c r="W55" s="111"/>
      <c r="X55" s="111"/>
      <c r="Y55" s="111"/>
    </row>
    <row r="56" spans="2:25" ht="15.75" x14ac:dyDescent="0.3">
      <c r="B56" s="512" t="str">
        <f>B39</f>
        <v>Specifik energianvändning</v>
      </c>
      <c r="C56" s="513">
        <f>SUM(C43:C48)</f>
        <v>0</v>
      </c>
      <c r="D56" s="513">
        <f>SUM(D43:D48)</f>
        <v>0</v>
      </c>
      <c r="E56" s="513">
        <f>IFERROR(SUM(E43:E48),0)</f>
        <v>0</v>
      </c>
      <c r="F56" s="513">
        <f>SUM(F43:F48)</f>
        <v>0</v>
      </c>
      <c r="G56" s="514">
        <f>IFERROR(C56/'A. Byggnadsinfo med BBR'!$E$43,0)</f>
        <v>0</v>
      </c>
      <c r="H56" s="514">
        <f>IFERROR(D56/'A. Byggnadsinfo med BBR'!$E$43,0)</f>
        <v>0</v>
      </c>
      <c r="I56" s="514">
        <f>IFERROR(E56/'A. Byggnadsinfo med BBR'!$E$43,0)</f>
        <v>0</v>
      </c>
      <c r="J56" s="514">
        <f>IFERROR(F56/'A. Byggnadsinfo med BBR'!$E$43,0)</f>
        <v>0</v>
      </c>
      <c r="K56" s="1307"/>
      <c r="L56" s="1307"/>
      <c r="M56" s="1308"/>
      <c r="T56" s="111"/>
      <c r="U56" s="111"/>
      <c r="V56" s="111"/>
      <c r="W56" s="111"/>
      <c r="X56" s="111"/>
      <c r="Y56" s="111"/>
    </row>
    <row r="57" spans="2:25" ht="16.5" thickBot="1" x14ac:dyDescent="0.35">
      <c r="B57" s="515"/>
      <c r="C57" s="130"/>
      <c r="D57" s="130"/>
      <c r="E57" s="130"/>
      <c r="F57" s="130"/>
      <c r="G57" s="130"/>
      <c r="H57" s="130"/>
      <c r="I57" s="130"/>
      <c r="J57" s="130"/>
      <c r="K57" s="130"/>
      <c r="L57" s="130"/>
      <c r="M57" s="130"/>
    </row>
    <row r="58" spans="2:25" ht="66.75" customHeight="1" x14ac:dyDescent="0.35">
      <c r="B58" s="476" t="s">
        <v>476</v>
      </c>
      <c r="C58" s="479" t="str">
        <f t="shared" ref="C58:J58" si="2">C24</f>
        <v>Beräknad enl. relations-handling</v>
      </c>
      <c r="D58" s="479" t="str">
        <f t="shared" si="2"/>
        <v>Uppmätt/ levererad</v>
      </c>
      <c r="E58" s="479" t="str">
        <f t="shared" si="2"/>
        <v>Normaliserad med schablon</v>
      </c>
      <c r="F58" s="480" t="str">
        <f t="shared" si="2"/>
        <v>Normaliserad med upprepad energiberäk-ning</v>
      </c>
      <c r="G58" s="504" t="str">
        <f t="shared" si="2"/>
        <v>Beräknad enl. relations-handling</v>
      </c>
      <c r="H58" s="479" t="str">
        <f t="shared" si="2"/>
        <v>Uppmätt/ levererad</v>
      </c>
      <c r="I58" s="479" t="str">
        <f t="shared" si="2"/>
        <v>Normaliserad med schablon</v>
      </c>
      <c r="J58" s="479" t="str">
        <f t="shared" si="2"/>
        <v>Normaliserad med upprepad energiberäk-ning</v>
      </c>
      <c r="K58" s="1293" t="s">
        <v>102</v>
      </c>
      <c r="L58" s="1293"/>
      <c r="M58" s="1294"/>
    </row>
    <row r="59" spans="2:25" ht="16.5" thickBot="1" x14ac:dyDescent="0.35">
      <c r="B59" s="505"/>
      <c r="C59" s="486" t="s">
        <v>252</v>
      </c>
      <c r="D59" s="486" t="s">
        <v>252</v>
      </c>
      <c r="E59" s="486" t="s">
        <v>252</v>
      </c>
      <c r="F59" s="506" t="s">
        <v>252</v>
      </c>
      <c r="G59" s="507" t="s">
        <v>453</v>
      </c>
      <c r="H59" s="508" t="s">
        <v>453</v>
      </c>
      <c r="I59" s="508" t="s">
        <v>453</v>
      </c>
      <c r="J59" s="486" t="s">
        <v>453</v>
      </c>
      <c r="K59" s="1295"/>
      <c r="L59" s="1296"/>
      <c r="M59" s="1297"/>
    </row>
    <row r="60" spans="2:25" ht="15.75" x14ac:dyDescent="0.3">
      <c r="B60" s="509" t="str">
        <f>B26</f>
        <v>Värme exkl. tappvarmvatten och VVC</v>
      </c>
      <c r="C60" s="912">
        <f>C26</f>
        <v>0</v>
      </c>
      <c r="D60" s="873">
        <f>'C2. Inmatning och verifiering'!AA54</f>
        <v>0</v>
      </c>
      <c r="E60" s="873">
        <f>'C2. Inmatning och verifiering'!AE54</f>
        <v>0</v>
      </c>
      <c r="F60" s="913">
        <f>IF('C3. Normaliseringsunderlag'!E81&gt;0,D60/'C3. Normaliseringsunderlag'!F81,0)</f>
        <v>0</v>
      </c>
      <c r="G60" s="914">
        <f>IFERROR(C60/'A. Byggnadsinfo med BBR'!$E$43,0)</f>
        <v>0</v>
      </c>
      <c r="H60" s="914">
        <f>IFERROR(D60/'A. Byggnadsinfo med BBR'!$E$43,0)</f>
        <v>0</v>
      </c>
      <c r="I60" s="914">
        <f>IFERROR(E60/'A. Byggnadsinfo med BBR'!$E$43,0)</f>
        <v>0</v>
      </c>
      <c r="J60" s="914">
        <f>IFERROR(F60/'A. Byggnadsinfo med BBR'!$E$43,0)</f>
        <v>0</v>
      </c>
      <c r="K60" s="1309"/>
      <c r="L60" s="1283"/>
      <c r="M60" s="1284"/>
    </row>
    <row r="61" spans="2:25" ht="15.75" x14ac:dyDescent="0.3">
      <c r="B61" s="510" t="str">
        <f t="shared" ref="B61:C73" si="3">B27</f>
        <v>Tappvarmvatten</v>
      </c>
      <c r="C61" s="912">
        <f t="shared" si="3"/>
        <v>0</v>
      </c>
      <c r="D61" s="882">
        <f>'C2. Inmatning och verifiering'!AI54</f>
        <v>0</v>
      </c>
      <c r="E61" s="882">
        <f>IFERROR('C2. Inmatning och verifiering'!AH7*'C2. Inmatning och verifiering'!W4,0)</f>
        <v>0</v>
      </c>
      <c r="F61" s="915">
        <f>IF('C3. Normaliseringsunderlag'!E82&gt;0,D61/'C3. Normaliseringsunderlag'!F82,0)</f>
        <v>0</v>
      </c>
      <c r="G61" s="914">
        <f>IFERROR(C61/'A. Byggnadsinfo med BBR'!$E$43,0)</f>
        <v>0</v>
      </c>
      <c r="H61" s="914">
        <f>IFERROR(D61/'A. Byggnadsinfo med BBR'!$E$43,0)</f>
        <v>0</v>
      </c>
      <c r="I61" s="914">
        <f>IFERROR(E61/'A. Byggnadsinfo med BBR'!$E$43,0)</f>
        <v>0</v>
      </c>
      <c r="J61" s="914">
        <f>IFERROR(F61/'A. Byggnadsinfo med BBR'!$E$43,0)</f>
        <v>0</v>
      </c>
      <c r="K61" s="1276"/>
      <c r="L61" s="1285"/>
      <c r="M61" s="1286"/>
    </row>
    <row r="62" spans="2:25" ht="15.75" x14ac:dyDescent="0.3">
      <c r="B62" s="510" t="str">
        <f t="shared" si="3"/>
        <v>VVC-förluster</v>
      </c>
      <c r="C62" s="912">
        <f t="shared" si="3"/>
        <v>0</v>
      </c>
      <c r="D62" s="882">
        <f>'C2. Inmatning och verifiering'!M54+'C2. Inmatning och verifiering'!N54+'C2. Inmatning och verifiering'!O54+'C2. Inmatning och verifiering'!P54</f>
        <v>0</v>
      </c>
      <c r="E62" s="882">
        <f>D62</f>
        <v>0</v>
      </c>
      <c r="F62" s="915">
        <f>D62</f>
        <v>0</v>
      </c>
      <c r="G62" s="914">
        <f>IFERROR(C62/'A. Byggnadsinfo med BBR'!$E$43,0)</f>
        <v>0</v>
      </c>
      <c r="H62" s="914">
        <f>IFERROR(D62/'A. Byggnadsinfo med BBR'!$E$43,0)</f>
        <v>0</v>
      </c>
      <c r="I62" s="914">
        <f>IFERROR(E62/'A. Byggnadsinfo med BBR'!$E$43,0)</f>
        <v>0</v>
      </c>
      <c r="J62" s="914">
        <f>IFERROR(F62/'A. Byggnadsinfo med BBR'!$E$43,0)</f>
        <v>0</v>
      </c>
      <c r="K62" s="1276"/>
      <c r="L62" s="1285"/>
      <c r="M62" s="1286"/>
    </row>
    <row r="63" spans="2:25" ht="15.75" x14ac:dyDescent="0.3">
      <c r="B63" s="510" t="str">
        <f t="shared" si="3"/>
        <v>Elkomfortkyla</v>
      </c>
      <c r="C63" s="912">
        <f t="shared" si="3"/>
        <v>0</v>
      </c>
      <c r="D63" s="882">
        <f>'C2. Inmatning och verifiering'!AR54</f>
        <v>0</v>
      </c>
      <c r="E63" s="882">
        <f>'C2. Inmatning och verifiering'!AU54</f>
        <v>0</v>
      </c>
      <c r="F63" s="915">
        <f>IF('C3. Normaliseringsunderlag'!E84&gt;0,D63/'C3. Normaliseringsunderlag'!F842,0)</f>
        <v>0</v>
      </c>
      <c r="G63" s="914">
        <f>IFERROR(C63/'A. Byggnadsinfo med BBR'!$E$43,0)</f>
        <v>0</v>
      </c>
      <c r="H63" s="914">
        <f>IFERROR(D63/'A. Byggnadsinfo med BBR'!$E$43,0)</f>
        <v>0</v>
      </c>
      <c r="I63" s="914">
        <f>IFERROR(E63/'A. Byggnadsinfo med BBR'!$E$43,0)</f>
        <v>0</v>
      </c>
      <c r="J63" s="914">
        <f>IFERROR(F63/'A. Byggnadsinfo med BBR'!$E$43,0)</f>
        <v>0</v>
      </c>
      <c r="K63" s="1276"/>
      <c r="L63" s="1285"/>
      <c r="M63" s="1286"/>
    </row>
    <row r="64" spans="2:25" ht="15.75" x14ac:dyDescent="0.3">
      <c r="B64" s="510" t="str">
        <f t="shared" si="3"/>
        <v>Fjärrkomfortkyla</v>
      </c>
      <c r="C64" s="912">
        <f t="shared" si="3"/>
        <v>0</v>
      </c>
      <c r="D64" s="882">
        <f>'C2. Inmatning och verifiering'!AQ54</f>
        <v>0</v>
      </c>
      <c r="E64" s="882">
        <f>'C2. Inmatning och verifiering'!AT54</f>
        <v>0</v>
      </c>
      <c r="F64" s="915">
        <f>IF('C3. Normaliseringsunderlag'!E85&gt;0,D64/'C3. Normaliseringsunderlag'!F85,0)</f>
        <v>0</v>
      </c>
      <c r="G64" s="914">
        <f>IFERROR(C64/'A. Byggnadsinfo med BBR'!$E$43,0)</f>
        <v>0</v>
      </c>
      <c r="H64" s="914">
        <f>IFERROR(D64/'A. Byggnadsinfo med BBR'!$E$43,0)</f>
        <v>0</v>
      </c>
      <c r="I64" s="914">
        <f>IFERROR(E64/'A. Byggnadsinfo med BBR'!$E$43,0)</f>
        <v>0</v>
      </c>
      <c r="J64" s="914">
        <f>IFERROR(F64/'A. Byggnadsinfo med BBR'!$E$43,0)</f>
        <v>0</v>
      </c>
      <c r="K64" s="1276"/>
      <c r="L64" s="1285"/>
      <c r="M64" s="1286"/>
    </row>
    <row r="65" spans="2:16" ht="15.75" x14ac:dyDescent="0.3">
      <c r="B65" s="510" t="str">
        <f t="shared" si="3"/>
        <v>Driftel exkl. värme och kyla</v>
      </c>
      <c r="C65" s="912">
        <f t="shared" si="3"/>
        <v>0</v>
      </c>
      <c r="D65" s="882">
        <f>'C2. Inmatning och verifiering'!AK54</f>
        <v>0</v>
      </c>
      <c r="E65" s="882">
        <f>D65</f>
        <v>0</v>
      </c>
      <c r="F65" s="915">
        <f>IF('C3. Normaliseringsunderlag'!E86&gt;0,D65/'C3. Normaliseringsunderlag'!F86,0)</f>
        <v>0</v>
      </c>
      <c r="G65" s="914">
        <f>IFERROR(C65/'A. Byggnadsinfo med BBR'!$E$43,0)</f>
        <v>0</v>
      </c>
      <c r="H65" s="914">
        <f>IFERROR(D65/'A. Byggnadsinfo med BBR'!$E$43,0)</f>
        <v>0</v>
      </c>
      <c r="I65" s="914">
        <f>IFERROR(E65/'A. Byggnadsinfo med BBR'!$E$43,0)</f>
        <v>0</v>
      </c>
      <c r="J65" s="914">
        <f>IFERROR(F65/'A. Byggnadsinfo med BBR'!$E$43,0)</f>
        <v>0</v>
      </c>
      <c r="K65" s="1276"/>
      <c r="L65" s="1285"/>
      <c r="M65" s="1286"/>
    </row>
    <row r="66" spans="2:16" ht="15.75" customHeight="1" x14ac:dyDescent="0.3">
      <c r="B66" s="510">
        <f t="shared" si="3"/>
        <v>0</v>
      </c>
      <c r="C66" s="916"/>
      <c r="D66" s="885"/>
      <c r="E66" s="885"/>
      <c r="F66" s="917"/>
      <c r="G66" s="901"/>
      <c r="H66" s="895"/>
      <c r="I66" s="895"/>
      <c r="J66" s="918"/>
      <c r="K66" s="1310"/>
      <c r="L66" s="1311"/>
      <c r="M66" s="1312"/>
    </row>
    <row r="67" spans="2:16" ht="15.75" x14ac:dyDescent="0.3">
      <c r="B67" s="510">
        <f t="shared" si="3"/>
        <v>0</v>
      </c>
      <c r="C67" s="916"/>
      <c r="D67" s="885"/>
      <c r="E67" s="899"/>
      <c r="F67" s="917"/>
      <c r="G67" s="919"/>
      <c r="H67" s="920"/>
      <c r="I67" s="903"/>
      <c r="J67" s="904"/>
      <c r="K67" s="1276"/>
      <c r="L67" s="1285"/>
      <c r="M67" s="1286"/>
    </row>
    <row r="68" spans="2:16" ht="15.75" customHeight="1" x14ac:dyDescent="0.3">
      <c r="B68" s="510">
        <f t="shared" si="3"/>
        <v>0</v>
      </c>
      <c r="C68" s="916"/>
      <c r="D68" s="885"/>
      <c r="E68" s="885"/>
      <c r="F68" s="917"/>
      <c r="G68" s="901"/>
      <c r="H68" s="895"/>
      <c r="I68" s="895"/>
      <c r="J68" s="918"/>
      <c r="K68" s="1276"/>
      <c r="L68" s="1285"/>
      <c r="M68" s="1286"/>
    </row>
    <row r="69" spans="2:16" ht="15.75" x14ac:dyDescent="0.3">
      <c r="B69" s="510" t="str">
        <f t="shared" si="3"/>
        <v>Verksamhetsenergi/hushållsenergi</v>
      </c>
      <c r="C69" s="922">
        <f>'B1. Resultat beräkning'!F21+'B1. Resultat beräkning'!F18</f>
        <v>0</v>
      </c>
      <c r="D69" s="882">
        <f>'C2. Inmatning och verifiering'!AN54</f>
        <v>0</v>
      </c>
      <c r="E69" s="899"/>
      <c r="F69" s="917"/>
      <c r="G69" s="923">
        <f>IFERROR(C69/'A. Byggnadsinfo med BBR'!$E$43,0)</f>
        <v>0</v>
      </c>
      <c r="H69" s="923">
        <f>IFERROR(D69/'A. Byggnadsinfo med BBR'!$E$43,0)</f>
        <v>0</v>
      </c>
      <c r="I69" s="895"/>
      <c r="J69" s="895"/>
      <c r="K69" s="1276"/>
      <c r="L69" s="1285"/>
      <c r="M69" s="1286"/>
    </row>
    <row r="70" spans="2:16" ht="15.75" x14ac:dyDescent="0.3">
      <c r="B70" s="510" t="str">
        <f t="shared" si="3"/>
        <v>Frikyla</v>
      </c>
      <c r="C70" s="924"/>
      <c r="D70" s="882">
        <f>'C2. Inmatning och verifiering'!$AX$54</f>
        <v>0</v>
      </c>
      <c r="E70" s="885"/>
      <c r="F70" s="917"/>
      <c r="G70" s="923">
        <f>IFERROR(C70/'A. Byggnadsinfo med BBR'!$E$43,0)</f>
        <v>0</v>
      </c>
      <c r="H70" s="923">
        <f>IFERROR(D70/'A. Byggnadsinfo med BBR'!$E$43,0)</f>
        <v>0</v>
      </c>
      <c r="I70" s="895"/>
      <c r="J70" s="895"/>
      <c r="K70" s="1276"/>
      <c r="L70" s="1285"/>
      <c r="M70" s="1286"/>
    </row>
    <row r="71" spans="2:16" ht="15.75" x14ac:dyDescent="0.3">
      <c r="B71" s="510" t="str">
        <f t="shared" si="3"/>
        <v>Egenproducerad el</v>
      </c>
      <c r="C71" s="924"/>
      <c r="D71" s="882">
        <f>'C2. Inmatning och verifiering'!AM54</f>
        <v>0</v>
      </c>
      <c r="E71" s="885"/>
      <c r="F71" s="917"/>
      <c r="G71" s="923">
        <f>IFERROR(C71/'A. Byggnadsinfo med BBR'!$E$43,0)</f>
        <v>0</v>
      </c>
      <c r="H71" s="923">
        <f>IFERROR(D71/'A. Byggnadsinfo med BBR'!$E$43,0)</f>
        <v>0</v>
      </c>
      <c r="I71" s="895"/>
      <c r="J71" s="895"/>
      <c r="K71" s="1276"/>
      <c r="L71" s="1285"/>
      <c r="M71" s="1286"/>
    </row>
    <row r="72" spans="2:16" ht="15.75" x14ac:dyDescent="0.3">
      <c r="B72" s="511" t="str">
        <f t="shared" si="3"/>
        <v>Solvärme</v>
      </c>
      <c r="C72" s="925"/>
      <c r="D72" s="907">
        <f>'C2. Inmatning och verifiering'!$AG$54</f>
        <v>0</v>
      </c>
      <c r="E72" s="908"/>
      <c r="F72" s="926"/>
      <c r="G72" s="923">
        <f>IFERROR(C72/'A. Byggnadsinfo med BBR'!$E$43,0)</f>
        <v>0</v>
      </c>
      <c r="H72" s="923">
        <f>IFERROR(D72/'A. Byggnadsinfo med BBR'!$E$43,0)</f>
        <v>0</v>
      </c>
      <c r="I72" s="910"/>
      <c r="J72" s="910"/>
      <c r="K72" s="1304"/>
      <c r="L72" s="1305"/>
      <c r="M72" s="1306"/>
    </row>
    <row r="73" spans="2:16" ht="15.75" x14ac:dyDescent="0.3">
      <c r="B73" s="516" t="str">
        <f t="shared" si="3"/>
        <v>Specifik energianvändning</v>
      </c>
      <c r="C73" s="513">
        <f>SUM(C60:C65)</f>
        <v>0</v>
      </c>
      <c r="D73" s="513">
        <f>SUM(D60:D65)</f>
        <v>0</v>
      </c>
      <c r="E73" s="513">
        <f>SUM(E60:E65)</f>
        <v>0</v>
      </c>
      <c r="F73" s="513">
        <f>SUM(F60:F65)</f>
        <v>0</v>
      </c>
      <c r="G73" s="514">
        <f>IFERROR(C73/'A. Byggnadsinfo med BBR'!$E$43,0)</f>
        <v>0</v>
      </c>
      <c r="H73" s="514">
        <f>IFERROR(D73/'A. Byggnadsinfo med BBR'!$E$43,0)</f>
        <v>0</v>
      </c>
      <c r="I73" s="514">
        <f>IFERROR(E73/'A. Byggnadsinfo med BBR'!$E$43,0)</f>
        <v>0</v>
      </c>
      <c r="J73" s="514">
        <f>IFERROR(F73/'A. Byggnadsinfo med BBR'!$E$43,0)</f>
        <v>0</v>
      </c>
      <c r="K73" s="1307"/>
      <c r="L73" s="1307"/>
      <c r="M73" s="1308"/>
    </row>
    <row r="74" spans="2:16" ht="15.75" x14ac:dyDescent="0.3">
      <c r="C74" s="131"/>
      <c r="D74" s="131"/>
      <c r="E74" s="131"/>
      <c r="F74" s="131"/>
      <c r="G74" s="131"/>
      <c r="H74" s="131"/>
      <c r="I74" s="131"/>
      <c r="J74" s="131"/>
      <c r="K74" s="131"/>
      <c r="L74" s="131"/>
      <c r="M74" s="131"/>
      <c r="N74" s="1314"/>
      <c r="O74" s="1314"/>
      <c r="P74" s="1314"/>
    </row>
    <row r="75" spans="2:16" ht="15.75" x14ac:dyDescent="0.3">
      <c r="C75" s="130"/>
      <c r="D75" s="130"/>
      <c r="E75" s="130"/>
      <c r="F75" s="130"/>
      <c r="G75" s="130"/>
      <c r="H75" s="130"/>
      <c r="I75" s="130"/>
      <c r="J75" s="130"/>
      <c r="K75" s="130"/>
      <c r="L75" s="130"/>
      <c r="M75" s="130"/>
      <c r="N75" s="1313"/>
      <c r="O75" s="1313"/>
      <c r="P75" s="1313"/>
    </row>
  </sheetData>
  <sheetProtection algorithmName="SHA-512" hashValue="RAc+0asyuqdt09ACsGnN2zc55F1Zue4HPtrgiIWvAe4HGwpKOlPw2h1leikmRVIDDYXwmtyhHBrZueXNWyA0TA==" saltValue="s7SyTb4540sH6VcARwtwoQ==" spinCount="100000" sheet="1" objects="1" scenarios="1"/>
  <mergeCells count="51">
    <mergeCell ref="K63:M63"/>
    <mergeCell ref="K64:M64"/>
    <mergeCell ref="K65:M65"/>
    <mergeCell ref="N75:P75"/>
    <mergeCell ref="K68:M68"/>
    <mergeCell ref="K69:M69"/>
    <mergeCell ref="K71:M71"/>
    <mergeCell ref="K72:M72"/>
    <mergeCell ref="K73:M73"/>
    <mergeCell ref="N74:P74"/>
    <mergeCell ref="K70:M70"/>
    <mergeCell ref="K67:M67"/>
    <mergeCell ref="K66:M66"/>
    <mergeCell ref="K54:M54"/>
    <mergeCell ref="K43:M43"/>
    <mergeCell ref="K44:M44"/>
    <mergeCell ref="K53:M53"/>
    <mergeCell ref="K47:M47"/>
    <mergeCell ref="K49:M49"/>
    <mergeCell ref="K48:M48"/>
    <mergeCell ref="K45:M45"/>
    <mergeCell ref="K46:M46"/>
    <mergeCell ref="K52:M52"/>
    <mergeCell ref="K50:M50"/>
    <mergeCell ref="K51:M51"/>
    <mergeCell ref="K55:M55"/>
    <mergeCell ref="K56:M56"/>
    <mergeCell ref="K59:M59"/>
    <mergeCell ref="K61:M61"/>
    <mergeCell ref="K62:M62"/>
    <mergeCell ref="K58:M58"/>
    <mergeCell ref="K60:M60"/>
    <mergeCell ref="K42:M42"/>
    <mergeCell ref="K35:M35"/>
    <mergeCell ref="K39:M39"/>
    <mergeCell ref="K37:M37"/>
    <mergeCell ref="K38:M38"/>
    <mergeCell ref="K33:M33"/>
    <mergeCell ref="K34:M34"/>
    <mergeCell ref="K29:M29"/>
    <mergeCell ref="K41:M41"/>
    <mergeCell ref="K36:M36"/>
    <mergeCell ref="M8:N8"/>
    <mergeCell ref="K32:M32"/>
    <mergeCell ref="K28:M28"/>
    <mergeCell ref="K30:M30"/>
    <mergeCell ref="K24:M24"/>
    <mergeCell ref="K26:M26"/>
    <mergeCell ref="K27:M27"/>
    <mergeCell ref="K31:M31"/>
    <mergeCell ref="K20:L20"/>
  </mergeCells>
  <dataValidations disablePrompts="1" count="2">
    <dataValidation type="list" allowBlank="1" showInputMessage="1" showErrorMessage="1" sqref="M6 K14:K16 M14:M16 K6" xr:uid="{00000000-0002-0000-0200-000000000000}">
      <formula1>$X$35:$X$41</formula1>
    </dataValidation>
    <dataValidation type="list" allowBlank="1" showInputMessage="1" showErrorMessage="1" sqref="K4 M12 K12 M4" xr:uid="{00000000-0002-0000-0200-000001000000}">
      <formula1>$W$35:$W$40</formula1>
    </dataValidation>
  </dataValidations>
  <pageMargins left="0.51" right="0.32656249999999998" top="0.39" bottom="0.39" header="0.31496062992125984" footer="0.31496062992125984"/>
  <pageSetup paperSize="9" scale="6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E3E-BAF4-49B9-90C6-2781B79E4AD2}">
  <dimension ref="B1:S31"/>
  <sheetViews>
    <sheetView topLeftCell="C4" zoomScale="80" zoomScaleNormal="80" workbookViewId="0">
      <selection activeCell="I7" sqref="I7"/>
    </sheetView>
  </sheetViews>
  <sheetFormatPr defaultColWidth="8.7109375" defaultRowHeight="15" x14ac:dyDescent="0.25"/>
  <cols>
    <col min="1" max="1" width="1.42578125" style="16" customWidth="1"/>
    <col min="2" max="2" width="21.5703125" style="16" customWidth="1"/>
    <col min="3" max="3" width="12.7109375" style="16" customWidth="1"/>
    <col min="4" max="4" width="11.85546875" style="16" customWidth="1"/>
    <col min="5" max="5" width="12.42578125" style="16" customWidth="1"/>
    <col min="6" max="7" width="12.5703125" style="16" customWidth="1"/>
    <col min="8" max="8" width="15.140625" style="16" customWidth="1"/>
    <col min="9" max="9" width="10.85546875" style="16" customWidth="1"/>
    <col min="10" max="10" width="12.85546875" style="16" customWidth="1"/>
    <col min="11" max="11" width="12.42578125" style="16" customWidth="1"/>
    <col min="12" max="12" width="12.5703125" style="16" customWidth="1"/>
    <col min="13" max="15" width="12.42578125" style="16" customWidth="1"/>
    <col min="16" max="16384" width="8.7109375" style="16"/>
  </cols>
  <sheetData>
    <row r="1" spans="2:19" ht="17.25" customHeight="1" x14ac:dyDescent="0.3">
      <c r="B1" s="686" t="s">
        <v>621</v>
      </c>
      <c r="G1" s="111" t="s">
        <v>622</v>
      </c>
    </row>
    <row r="2" spans="2:19" ht="17.25" customHeight="1" x14ac:dyDescent="0.3">
      <c r="C2" s="131"/>
      <c r="D2" s="464"/>
    </row>
    <row r="3" spans="2:19" ht="17.25" customHeight="1" thickBot="1" x14ac:dyDescent="0.35">
      <c r="C3" s="528" t="s">
        <v>9</v>
      </c>
      <c r="D3" s="130" t="s">
        <v>10</v>
      </c>
    </row>
    <row r="4" spans="2:19" ht="17.25" customHeight="1" thickBot="1" x14ac:dyDescent="0.35">
      <c r="B4" s="464" t="s">
        <v>623</v>
      </c>
      <c r="C4" s="124" t="str">
        <f>'A. Byggnadsinfo med BBR'!D25</f>
        <v>N</v>
      </c>
      <c r="D4" s="927" t="str">
        <f>'A. Byggnadsinfo med BBR'!E25</f>
        <v>N</v>
      </c>
    </row>
    <row r="5" spans="2:19" ht="17.25" customHeight="1" thickBot="1" x14ac:dyDescent="0.4">
      <c r="B5" s="464" t="s">
        <v>624</v>
      </c>
      <c r="C5" s="928">
        <f>'A. Byggnadsinfo med BBR'!D43</f>
        <v>0</v>
      </c>
      <c r="D5" s="928">
        <f>'A. Byggnadsinfo med BBR'!E43</f>
        <v>0</v>
      </c>
    </row>
    <row r="6" spans="2:19" ht="17.25" customHeight="1" thickBot="1" x14ac:dyDescent="0.4">
      <c r="B6" s="464" t="s">
        <v>625</v>
      </c>
      <c r="C6" s="929">
        <f>'A. Byggnadsinfo med BBR'!E51</f>
        <v>0.9</v>
      </c>
      <c r="D6" s="930"/>
      <c r="G6" s="687"/>
    </row>
    <row r="7" spans="2:19" ht="17.25" customHeight="1" thickBot="1" x14ac:dyDescent="0.3"/>
    <row r="8" spans="2:19" ht="49.5" customHeight="1" thickBot="1" x14ac:dyDescent="0.35">
      <c r="B8" s="688"/>
      <c r="C8" s="689" t="s">
        <v>251</v>
      </c>
      <c r="D8" s="689" t="s">
        <v>399</v>
      </c>
      <c r="E8" s="689" t="s">
        <v>626</v>
      </c>
      <c r="F8" s="689" t="s">
        <v>627</v>
      </c>
      <c r="G8" s="689" t="s">
        <v>628</v>
      </c>
      <c r="I8" s="690"/>
      <c r="K8" s="689" t="str">
        <f>C8</f>
        <v>Beräknat inför startbesked</v>
      </c>
      <c r="L8" s="689" t="str">
        <f>D8</f>
        <v>Beräknat inför slutbesked</v>
      </c>
      <c r="M8" s="689" t="str">
        <f>E8</f>
        <v>Verifierat genom mätning år 1</v>
      </c>
      <c r="N8" s="689" t="str">
        <f>F8</f>
        <v>Verifierat genom mätning år 2</v>
      </c>
      <c r="O8" s="689" t="str">
        <f>G8</f>
        <v>Verifierat genom mätning år 3</v>
      </c>
      <c r="Q8" s="519" t="s">
        <v>629</v>
      </c>
    </row>
    <row r="9" spans="2:19" ht="19.5" thickBot="1" x14ac:dyDescent="0.4">
      <c r="B9" s="691"/>
      <c r="C9" s="692" t="s">
        <v>252</v>
      </c>
      <c r="D9" s="692" t="s">
        <v>252</v>
      </c>
      <c r="E9" s="692" t="s">
        <v>252</v>
      </c>
      <c r="F9" s="692" t="s">
        <v>252</v>
      </c>
      <c r="G9" s="692" t="s">
        <v>252</v>
      </c>
      <c r="J9" s="693" t="s">
        <v>630</v>
      </c>
      <c r="K9" s="963">
        <f>IFERROR(SUM(K10:K14),0)</f>
        <v>0</v>
      </c>
      <c r="L9" s="963">
        <f>IFERROR(SUM(L10:L14),0)</f>
        <v>0</v>
      </c>
      <c r="M9" s="963">
        <f>IFERROR(SUM(M10:M14),0)</f>
        <v>0</v>
      </c>
      <c r="N9" s="963">
        <f t="shared" ref="N9:O9" si="0">IFERROR(SUM(N10:N14),0)</f>
        <v>0</v>
      </c>
      <c r="O9" s="963">
        <f t="shared" si="0"/>
        <v>0</v>
      </c>
      <c r="P9" s="694" t="s">
        <v>631</v>
      </c>
      <c r="R9" s="429" t="s">
        <v>632</v>
      </c>
      <c r="S9" s="429" t="s">
        <v>633</v>
      </c>
    </row>
    <row r="10" spans="2:19" ht="15.75" x14ac:dyDescent="0.3">
      <c r="B10" s="695" t="s">
        <v>253</v>
      </c>
      <c r="C10" s="931">
        <f>'B1. Resultat beräkning'!D28</f>
        <v>0</v>
      </c>
      <c r="D10" s="874">
        <f>'B1. Resultat beräkning'!F28</f>
        <v>0</v>
      </c>
      <c r="E10" s="932">
        <f>IF('C2. Inmatning och verifiering'!$AA$26=0,0,'C2. Inmatning och verifiering'!X$26*'C2. Inmatning och verifiering'!$AE$26/'C2. Inmatning och verifiering'!$AA$26)</f>
        <v>0</v>
      </c>
      <c r="F10" s="933">
        <f>IF('C2. Inmatning och verifiering'!AA40=0,0,'C2. Inmatning och verifiering'!X40*'C2. Inmatning och verifiering'!AE40/'C2. Inmatning och verifiering'!AA40)</f>
        <v>0</v>
      </c>
      <c r="G10" s="933">
        <f>IF('C2. Inmatning och verifiering'!AA54=0,0,'C2. Inmatning och verifiering'!X54*'C2. Inmatning och verifiering'!AE54/'C2. Inmatning och verifiering'!AA54)</f>
        <v>0</v>
      </c>
      <c r="H10" s="131"/>
      <c r="I10" s="131" t="s">
        <v>634</v>
      </c>
      <c r="J10" s="464" t="s">
        <v>635</v>
      </c>
      <c r="K10" s="955">
        <f>IFERROR((C10/$C$6*$S$10+C11/$C$6*$S$11+C12/$C$6*$S$13+C13/$C$6*$S$14)/$C$5,0)</f>
        <v>0</v>
      </c>
      <c r="L10" s="956">
        <f t="shared" ref="L10:O10" si="1">IFERROR((D10/$C$6*$S$10+D11/$C$6*$S$11+D12/$C$6*$S$13+D13/$C$6*$S$14)/$C$5,0)</f>
        <v>0</v>
      </c>
      <c r="M10" s="956">
        <f t="shared" si="1"/>
        <v>0</v>
      </c>
      <c r="N10" s="956">
        <f t="shared" si="1"/>
        <v>0</v>
      </c>
      <c r="O10" s="957">
        <f t="shared" si="1"/>
        <v>0</v>
      </c>
      <c r="P10" s="131"/>
      <c r="Q10" s="464" t="s">
        <v>464</v>
      </c>
      <c r="R10" s="955">
        <v>1.6</v>
      </c>
      <c r="S10" s="957">
        <v>1.8</v>
      </c>
    </row>
    <row r="11" spans="2:19" ht="15.75" x14ac:dyDescent="0.3">
      <c r="B11" s="696" t="s">
        <v>254</v>
      </c>
      <c r="C11" s="934">
        <f>'B1. Resultat beräkning'!D29</f>
        <v>0</v>
      </c>
      <c r="D11" s="883">
        <f>'B1. Resultat beräkning'!F29</f>
        <v>0</v>
      </c>
      <c r="E11" s="935">
        <f>IF('C2. Inmatning och verifiering'!$AA$26=0,0,'C2. Inmatning och verifiering'!W$26*'C2. Inmatning och verifiering'!$AE$26/'C2. Inmatning och verifiering'!$AA$26)</f>
        <v>0</v>
      </c>
      <c r="F11" s="936">
        <f>IF('C2. Inmatning och verifiering'!$AA$40=0,0,'C2. Inmatning och verifiering'!W$40*'C2. Inmatning och verifiering'!$AE$40/'C2. Inmatning och verifiering'!$AA$40)</f>
        <v>0</v>
      </c>
      <c r="G11" s="936">
        <f>IF('C2. Inmatning och verifiering'!$AA$54=0,0,'C2. Inmatning och verifiering'!W$54*'C2. Inmatning och verifiering'!$AE$54/'C2. Inmatning och verifiering'!$AA$54)</f>
        <v>0</v>
      </c>
      <c r="H11" s="131"/>
      <c r="I11" s="131"/>
      <c r="J11" s="464" t="s">
        <v>636</v>
      </c>
      <c r="K11" s="958">
        <f>IFERROR((C14*$S$10+C15*$S$11+C16*$S$13+C17*$S$14)/$C$5,0)</f>
        <v>0</v>
      </c>
      <c r="L11" s="152">
        <f t="shared" ref="L11:O11" si="2">IFERROR((D14*$S$10+D15*$S$11+D16*$S$13+D17*$S$14)/$C$5,0)</f>
        <v>0</v>
      </c>
      <c r="M11" s="152">
        <f t="shared" si="2"/>
        <v>0</v>
      </c>
      <c r="N11" s="152">
        <f t="shared" si="2"/>
        <v>0</v>
      </c>
      <c r="O11" s="959">
        <f t="shared" si="2"/>
        <v>0</v>
      </c>
      <c r="P11" s="131"/>
      <c r="Q11" s="464" t="s">
        <v>95</v>
      </c>
      <c r="R11" s="958">
        <v>1</v>
      </c>
      <c r="S11" s="959">
        <v>0.7</v>
      </c>
    </row>
    <row r="12" spans="2:19" ht="15.75" x14ac:dyDescent="0.3">
      <c r="B12" s="696" t="s">
        <v>255</v>
      </c>
      <c r="C12" s="934">
        <f>'B1. Resultat beräkning'!D30</f>
        <v>0</v>
      </c>
      <c r="D12" s="883">
        <f>'B1. Resultat beräkning'!F30</f>
        <v>0</v>
      </c>
      <c r="E12" s="935">
        <f>IF('C2. Inmatning och verifiering'!$AA$26=0,0,'C2. Inmatning och verifiering'!Y$26*'C2. Inmatning och verifiering'!$AE$26/'C2. Inmatning och verifiering'!$AA$26)</f>
        <v>0</v>
      </c>
      <c r="F12" s="936">
        <f>IF('C2. Inmatning och verifiering'!$AA$40=0,0,'C2. Inmatning och verifiering'!Y$40*'C2. Inmatning och verifiering'!$AE$40/'C2. Inmatning och verifiering'!$AA$40)</f>
        <v>0</v>
      </c>
      <c r="G12" s="936">
        <f>IF('C2. Inmatning och verifiering'!$AA$54=0,0,'C2. Inmatning och verifiering'!Y$54*'C2. Inmatning och verifiering'!$AE$54/'C2. Inmatning och verifiering'!$AA$54)</f>
        <v>0</v>
      </c>
      <c r="H12" s="131"/>
      <c r="I12" s="131"/>
      <c r="J12" s="464" t="s">
        <v>637</v>
      </c>
      <c r="K12" s="958">
        <f>IFERROR((C18*$S$10+C19*$S$11+C20*$S$13+C21*$S$14)/$C$5,0)</f>
        <v>0</v>
      </c>
      <c r="L12" s="152">
        <f t="shared" ref="L12:O12" si="3">IFERROR((D18*$S$10+D19*$S$11+D20*$S$13+D21*$S$14)/$C$5,0)</f>
        <v>0</v>
      </c>
      <c r="M12" s="152">
        <f t="shared" si="3"/>
        <v>0</v>
      </c>
      <c r="N12" s="152">
        <f t="shared" si="3"/>
        <v>0</v>
      </c>
      <c r="O12" s="959">
        <f t="shared" si="3"/>
        <v>0</v>
      </c>
      <c r="P12" s="131"/>
      <c r="Q12" s="464" t="s">
        <v>99</v>
      </c>
      <c r="R12" s="958">
        <v>1</v>
      </c>
      <c r="S12" s="959">
        <v>0.6</v>
      </c>
    </row>
    <row r="13" spans="2:19" ht="16.5" thickBot="1" x14ac:dyDescent="0.35">
      <c r="B13" s="697" t="s">
        <v>256</v>
      </c>
      <c r="C13" s="937">
        <f>'B1. Resultat beräkning'!D31</f>
        <v>0</v>
      </c>
      <c r="D13" s="938">
        <f>'B1. Resultat beräkning'!F31</f>
        <v>0</v>
      </c>
      <c r="E13" s="939">
        <f>IF('C2. Inmatning och verifiering'!$AA$26=0,0,'C2. Inmatning och verifiering'!Z$26*'C2. Inmatning och verifiering'!$AE$26/'C2. Inmatning och verifiering'!$AA$26)</f>
        <v>0</v>
      </c>
      <c r="F13" s="940">
        <f>IF('C2. Inmatning och verifiering'!$AA$40=0,0,'C2. Inmatning och verifiering'!Z$40*'C2. Inmatning och verifiering'!$AE$40/'C2. Inmatning och verifiering'!$AA$40)</f>
        <v>0</v>
      </c>
      <c r="G13" s="940">
        <f>IF('C2. Inmatning och verifiering'!$AA$54=0,0,'C2. Inmatning och verifiering'!Z$54*'C2. Inmatning och verifiering'!$AE$54/'C2. Inmatning och verifiering'!$AA$54)</f>
        <v>0</v>
      </c>
      <c r="H13" s="131"/>
      <c r="I13" s="131"/>
      <c r="J13" s="464" t="s">
        <v>118</v>
      </c>
      <c r="K13" s="958">
        <f>IFERROR((C22*$S$10+C23*$S$12+C24*$S$11+C25*$S$13+C26*$S$14)/$C$5,0)</f>
        <v>0</v>
      </c>
      <c r="L13" s="152">
        <f>IFERROR((D22*$S$10+D23*$S$12+D24*$S$11+D25*$S$13+D26*$S$14)/$C$5,0)</f>
        <v>0</v>
      </c>
      <c r="M13" s="152">
        <f t="shared" ref="M13:O13" si="4">IFERROR((E22*$S$10+E23*$S$12+E24*$S$11+E25*$S$13+E26*$S$14)/$C$5,0)</f>
        <v>0</v>
      </c>
      <c r="N13" s="152">
        <f t="shared" si="4"/>
        <v>0</v>
      </c>
      <c r="O13" s="959">
        <f t="shared" si="4"/>
        <v>0</v>
      </c>
      <c r="P13" s="131"/>
      <c r="Q13" s="464" t="s">
        <v>638</v>
      </c>
      <c r="R13" s="958">
        <v>1</v>
      </c>
      <c r="S13" s="959">
        <v>0.6</v>
      </c>
    </row>
    <row r="14" spans="2:19" ht="16.5" thickBot="1" x14ac:dyDescent="0.35">
      <c r="B14" s="698" t="s">
        <v>257</v>
      </c>
      <c r="C14" s="931">
        <f>'B1. Resultat beräkning'!D32</f>
        <v>0</v>
      </c>
      <c r="D14" s="874">
        <f>'B1. Resultat beräkning'!F32</f>
        <v>0</v>
      </c>
      <c r="E14" s="932">
        <f>'C2. Inmatning och verifiering'!N$26</f>
        <v>0</v>
      </c>
      <c r="F14" s="933">
        <f>'C2. Inmatning och verifiering'!N$40</f>
        <v>0</v>
      </c>
      <c r="G14" s="933">
        <f>'C2. Inmatning och verifiering'!N$54</f>
        <v>0</v>
      </c>
      <c r="H14" s="131"/>
      <c r="I14" s="131"/>
      <c r="J14" s="464" t="s">
        <v>120</v>
      </c>
      <c r="K14" s="960">
        <f>IFERROR((C27*$S$10+C28*$S$11+C29*$S$13+C30*$S$14)/$C$5,0)</f>
        <v>0</v>
      </c>
      <c r="L14" s="961">
        <f t="shared" ref="L14:O14" si="5">IFERROR((D27*$S$10+D28*$S$11+D29*$S$13+D30*$S$14)/$C$5,0)</f>
        <v>0</v>
      </c>
      <c r="M14" s="961">
        <f t="shared" si="5"/>
        <v>0</v>
      </c>
      <c r="N14" s="961">
        <f t="shared" si="5"/>
        <v>0</v>
      </c>
      <c r="O14" s="962">
        <f t="shared" si="5"/>
        <v>0</v>
      </c>
      <c r="P14" s="131"/>
      <c r="Q14" s="464" t="s">
        <v>639</v>
      </c>
      <c r="R14" s="960">
        <v>1</v>
      </c>
      <c r="S14" s="962">
        <v>1.8</v>
      </c>
    </row>
    <row r="15" spans="2:19" ht="16.5" thickBot="1" x14ac:dyDescent="0.35">
      <c r="B15" s="699" t="s">
        <v>258</v>
      </c>
      <c r="C15" s="934">
        <f>'B1. Resultat beräkning'!D33</f>
        <v>0</v>
      </c>
      <c r="D15" s="883">
        <f>'B1. Resultat beräkning'!F33</f>
        <v>0</v>
      </c>
      <c r="E15" s="941">
        <f>'C2. Inmatning och verifiering'!M$26</f>
        <v>0</v>
      </c>
      <c r="F15" s="942">
        <f>'C2. Inmatning och verifiering'!M$40</f>
        <v>0</v>
      </c>
      <c r="G15" s="942">
        <f>'C2. Inmatning och verifiering'!M$54</f>
        <v>0</v>
      </c>
      <c r="Q15" s="454"/>
      <c r="R15" s="687"/>
      <c r="S15" s="455"/>
    </row>
    <row r="16" spans="2:19" ht="19.5" thickBot="1" x14ac:dyDescent="0.4">
      <c r="B16" s="699" t="s">
        <v>259</v>
      </c>
      <c r="C16" s="934">
        <f>'B1. Resultat beräkning'!D34</f>
        <v>0</v>
      </c>
      <c r="D16" s="883">
        <f>'B1. Resultat beräkning'!F34</f>
        <v>0</v>
      </c>
      <c r="E16" s="941">
        <f>'C2. Inmatning och verifiering'!O$26</f>
        <v>0</v>
      </c>
      <c r="F16" s="942">
        <f>'C2. Inmatning och verifiering'!O$40</f>
        <v>0</v>
      </c>
      <c r="G16" s="942">
        <f>'C2. Inmatning och verifiering'!O$54</f>
        <v>0</v>
      </c>
      <c r="J16" s="693" t="s">
        <v>640</v>
      </c>
      <c r="K16" s="964">
        <f>IFERROR(SUM(K17:K21),0)</f>
        <v>0</v>
      </c>
      <c r="L16" s="964">
        <f t="shared" ref="L16:O16" si="6">IFERROR(SUM(L17:L21),0)</f>
        <v>0</v>
      </c>
      <c r="M16" s="964">
        <f t="shared" si="6"/>
        <v>0</v>
      </c>
      <c r="N16" s="964">
        <f t="shared" si="6"/>
        <v>0</v>
      </c>
      <c r="O16" s="964">
        <f t="shared" si="6"/>
        <v>0</v>
      </c>
      <c r="P16" s="694" t="s">
        <v>631</v>
      </c>
    </row>
    <row r="17" spans="2:16" ht="16.5" thickBot="1" x14ac:dyDescent="0.35">
      <c r="B17" s="700" t="s">
        <v>260</v>
      </c>
      <c r="C17" s="937">
        <f>'B1. Resultat beräkning'!D35</f>
        <v>0</v>
      </c>
      <c r="D17" s="938">
        <f>'B1. Resultat beräkning'!F35</f>
        <v>0</v>
      </c>
      <c r="E17" s="943">
        <f>'C2. Inmatning och verifiering'!P$26</f>
        <v>0</v>
      </c>
      <c r="F17" s="944">
        <f>'C2. Inmatning och verifiering'!P$40</f>
        <v>0</v>
      </c>
      <c r="G17" s="944">
        <f>'C2. Inmatning och verifiering'!P$54</f>
        <v>0</v>
      </c>
      <c r="I17" s="694" t="s">
        <v>634</v>
      </c>
      <c r="J17" s="701" t="s">
        <v>635</v>
      </c>
      <c r="K17" s="955">
        <f>IFERROR((C$10/$C$6*$R$10+(C$11+C$12+C$13)/$C$6*$R$11)/$C$5,0)</f>
        <v>0</v>
      </c>
      <c r="L17" s="956">
        <f t="shared" ref="L17:O17" si="7">IFERROR((D$10/$C$6*$R$10+(D$11+D$12+D$13)/$C$6*$R$11)/$C$5,0)</f>
        <v>0</v>
      </c>
      <c r="M17" s="956">
        <f t="shared" si="7"/>
        <v>0</v>
      </c>
      <c r="N17" s="956">
        <f t="shared" si="7"/>
        <v>0</v>
      </c>
      <c r="O17" s="957">
        <f t="shared" si="7"/>
        <v>0</v>
      </c>
      <c r="P17" s="694"/>
    </row>
    <row r="18" spans="2:16" ht="15.75" x14ac:dyDescent="0.3">
      <c r="B18" s="702" t="s">
        <v>261</v>
      </c>
      <c r="C18" s="931">
        <f>'B1. Resultat beräkning'!D36</f>
        <v>0</v>
      </c>
      <c r="D18" s="874">
        <f>'B1. Resultat beräkning'!F36</f>
        <v>0</v>
      </c>
      <c r="E18" s="945">
        <f>IF('C2. Inmatning och verifiering'!S26=0,0,'C2. Inmatning och verifiering'!$AH$5*'C2. Inmatning och verifiering'!$W$4)</f>
        <v>0</v>
      </c>
      <c r="F18" s="946">
        <f>IF('C2. Inmatning och verifiering'!S40=0,0,'C2. Inmatning och verifiering'!$AH$5*'C2. Inmatning och verifiering'!$W$4)</f>
        <v>0</v>
      </c>
      <c r="G18" s="946">
        <f>IF('C2. Inmatning och verifiering'!S54=0,0,'C2. Inmatning och verifiering'!$AH$5*'C2. Inmatning och verifiering'!$W$4)</f>
        <v>0</v>
      </c>
      <c r="H18" s="111" t="s">
        <v>641</v>
      </c>
      <c r="I18" s="694"/>
      <c r="J18" s="701" t="s">
        <v>636</v>
      </c>
      <c r="K18" s="958">
        <f>IFERROR((C$14*$R$10+(C$15+C$16+C$17)*$R$11)/$C$5,0)</f>
        <v>0</v>
      </c>
      <c r="L18" s="152">
        <f t="shared" ref="L18:O18" si="8">IFERROR((D$14*$R$10+(D$15+D$16+D$17)*$R$11)/$C$5,0)</f>
        <v>0</v>
      </c>
      <c r="M18" s="152">
        <f t="shared" si="8"/>
        <v>0</v>
      </c>
      <c r="N18" s="152">
        <f t="shared" si="8"/>
        <v>0</v>
      </c>
      <c r="O18" s="959">
        <f t="shared" si="8"/>
        <v>0</v>
      </c>
      <c r="P18" s="694"/>
    </row>
    <row r="19" spans="2:16" ht="15.75" x14ac:dyDescent="0.3">
      <c r="B19" s="703" t="s">
        <v>262</v>
      </c>
      <c r="C19" s="934">
        <f>'B1. Resultat beräkning'!D37</f>
        <v>0</v>
      </c>
      <c r="D19" s="883">
        <f>'B1. Resultat beräkning'!F37</f>
        <v>0</v>
      </c>
      <c r="E19" s="947">
        <f>IF('C2. Inmatning och verifiering'!R26=0,0,'C2. Inmatning och verifiering'!$AH$5*'C2. Inmatning och verifiering'!$W$4)</f>
        <v>0</v>
      </c>
      <c r="F19" s="948">
        <f>IF('C2. Inmatning och verifiering'!R40=0,0,'C2. Inmatning och verifiering'!$AH$6*'C2. Inmatning och verifiering'!$W$4)</f>
        <v>0</v>
      </c>
      <c r="G19" s="948">
        <f>IF('C2. Inmatning och verifiering'!R54=0,0,'C2. Inmatning och verifiering'!$AH$7*'C2. Inmatning och verifiering'!$W$4)</f>
        <v>0</v>
      </c>
      <c r="I19" s="694"/>
      <c r="J19" s="701" t="s">
        <v>637</v>
      </c>
      <c r="K19" s="958">
        <f>IFERROR(($C$18*$R$10+($C$19+$C$20+$C$21)*$R$11)/$C$5,0)</f>
        <v>0</v>
      </c>
      <c r="L19" s="152">
        <f t="shared" ref="L19:O19" si="9">IFERROR(($C$18*$R$10+($C$19+$C$20+$C$21)*$R$11)/$C$5,0)</f>
        <v>0</v>
      </c>
      <c r="M19" s="152">
        <f t="shared" si="9"/>
        <v>0</v>
      </c>
      <c r="N19" s="152">
        <f t="shared" si="9"/>
        <v>0</v>
      </c>
      <c r="O19" s="959">
        <f t="shared" si="9"/>
        <v>0</v>
      </c>
      <c r="P19" s="694"/>
    </row>
    <row r="20" spans="2:16" ht="15.75" x14ac:dyDescent="0.3">
      <c r="B20" s="703" t="s">
        <v>263</v>
      </c>
      <c r="C20" s="934">
        <f>'B1. Resultat beräkning'!D38</f>
        <v>0</v>
      </c>
      <c r="D20" s="883">
        <f>'B1. Resultat beräkning'!F38</f>
        <v>0</v>
      </c>
      <c r="E20" s="947">
        <f>IF('C2. Inmatning och verifiering'!T26=0,0,'C2. Inmatning och verifiering'!$AH$5*'C2. Inmatning och verifiering'!$W$4)</f>
        <v>0</v>
      </c>
      <c r="F20" s="948">
        <f>IF('C2. Inmatning och verifiering'!T40=0,0,'C2. Inmatning och verifiering'!$AH$6*'C2. Inmatning och verifiering'!$W$4)</f>
        <v>0</v>
      </c>
      <c r="G20" s="948">
        <f>IF('C2. Inmatning och verifiering'!T54=0,0,'C2. Inmatning och verifiering'!$AH$7*'C2. Inmatning och verifiering'!$W$4)</f>
        <v>0</v>
      </c>
      <c r="I20" s="694"/>
      <c r="J20" s="701" t="s">
        <v>118</v>
      </c>
      <c r="K20" s="958">
        <f>IFERROR((IF($C$4="J",1,1.875)*C$22*$R$10+(C$23+C$24+C$25+C$26)*$R$11)/$C$5,0)</f>
        <v>0</v>
      </c>
      <c r="L20" s="152">
        <f>IFERROR((IF($D$4="J",1,1.875)*D$22*$R$10+(D$23+D$24+D$25+D$26)*$R$11)/$C$5,0)</f>
        <v>0</v>
      </c>
      <c r="M20" s="152">
        <f t="shared" ref="M20:O20" si="10">IFERROR((IF($D$4="J",1,1.875)*E$22*$R$10+(E$23+E$24+E$25+E$26)*$R$11)/$C$5,0)</f>
        <v>0</v>
      </c>
      <c r="N20" s="152">
        <f t="shared" si="10"/>
        <v>0</v>
      </c>
      <c r="O20" s="959">
        <f t="shared" si="10"/>
        <v>0</v>
      </c>
      <c r="P20" s="694"/>
    </row>
    <row r="21" spans="2:16" ht="16.5" thickBot="1" x14ac:dyDescent="0.35">
      <c r="B21" s="704" t="s">
        <v>264</v>
      </c>
      <c r="C21" s="937">
        <f>'B1. Resultat beräkning'!D39</f>
        <v>0</v>
      </c>
      <c r="D21" s="938">
        <f>'B1. Resultat beräkning'!F39</f>
        <v>0</v>
      </c>
      <c r="E21" s="949">
        <f>IF('C2. Inmatning och verifiering'!U26=0,0,'C2. Inmatning och verifiering'!$AH$5*'C2. Inmatning och verifiering'!$W$4)</f>
        <v>0</v>
      </c>
      <c r="F21" s="950">
        <f>IF('C2. Inmatning och verifiering'!U40=0,0,'C2. Inmatning och verifiering'!$AH$6*'C2. Inmatning och verifiering'!$W$4)</f>
        <v>0</v>
      </c>
      <c r="G21" s="950">
        <f>IF('C2. Inmatning och verifiering'!U54=0,0,'C2. Inmatning och verifiering'!$AH$7*'C2. Inmatning och verifiering'!$W$4)</f>
        <v>0</v>
      </c>
      <c r="I21" s="694"/>
      <c r="J21" s="701" t="s">
        <v>120</v>
      </c>
      <c r="K21" s="960">
        <f>IFERROR((C$27*$R$10+(C$28+C$29+C$30)*$R$11)/$C$5,0)</f>
        <v>0</v>
      </c>
      <c r="L21" s="961">
        <f t="shared" ref="L21:O21" si="11">IFERROR((D$27*$R$10+(D$28+D$29+D$30)*$R$11)/$C$5,0)</f>
        <v>0</v>
      </c>
      <c r="M21" s="961">
        <f t="shared" si="11"/>
        <v>0</v>
      </c>
      <c r="N21" s="961">
        <f t="shared" si="11"/>
        <v>0</v>
      </c>
      <c r="O21" s="962">
        <f t="shared" si="11"/>
        <v>0</v>
      </c>
      <c r="P21" s="694"/>
    </row>
    <row r="22" spans="2:16" ht="16.5" thickBot="1" x14ac:dyDescent="0.35">
      <c r="B22" s="705" t="s">
        <v>239</v>
      </c>
      <c r="C22" s="931">
        <f>'B1. Resultat beräkning'!D40</f>
        <v>0</v>
      </c>
      <c r="D22" s="874">
        <f>'B1. Resultat beräkning'!F40</f>
        <v>0</v>
      </c>
      <c r="E22" s="941">
        <f>'C2. Inmatning och verifiering'!$AU26</f>
        <v>0</v>
      </c>
      <c r="F22" s="942">
        <f>'C2. Inmatning och verifiering'!$AU40</f>
        <v>0</v>
      </c>
      <c r="G22" s="942">
        <f>'C2. Inmatning och verifiering'!$AU54</f>
        <v>0</v>
      </c>
    </row>
    <row r="23" spans="2:16" ht="19.5" thickBot="1" x14ac:dyDescent="0.4">
      <c r="B23" s="706" t="s">
        <v>265</v>
      </c>
      <c r="C23" s="934">
        <f>'B1. Resultat beräkning'!D41</f>
        <v>0</v>
      </c>
      <c r="D23" s="883">
        <f>'B1. Resultat beräkning'!F41</f>
        <v>0</v>
      </c>
      <c r="E23" s="935">
        <f>'C2. Inmatning och verifiering'!$AT26</f>
        <v>0</v>
      </c>
      <c r="F23" s="936">
        <f>'C2. Inmatning och verifiering'!$AT40</f>
        <v>0</v>
      </c>
      <c r="G23" s="936">
        <f>'C2. Inmatning och verifiering'!$AT54</f>
        <v>0</v>
      </c>
      <c r="J23" s="693" t="s">
        <v>642</v>
      </c>
      <c r="K23" s="963">
        <f t="shared" ref="K23:O23" si="12">IFERROR(SUM(K24:K28),0)</f>
        <v>0</v>
      </c>
      <c r="L23" s="963">
        <f t="shared" si="12"/>
        <v>0</v>
      </c>
      <c r="M23" s="963">
        <f t="shared" si="12"/>
        <v>0</v>
      </c>
      <c r="N23" s="963">
        <f t="shared" si="12"/>
        <v>0</v>
      </c>
      <c r="O23" s="963">
        <f t="shared" si="12"/>
        <v>0</v>
      </c>
      <c r="P23" s="694" t="s">
        <v>631</v>
      </c>
    </row>
    <row r="24" spans="2:16" ht="15.75" x14ac:dyDescent="0.3">
      <c r="B24" s="706" t="s">
        <v>266</v>
      </c>
      <c r="C24" s="934">
        <f>'B1. Resultat beräkning'!D42</f>
        <v>0</v>
      </c>
      <c r="D24" s="883">
        <f>'B1. Resultat beräkning'!F42</f>
        <v>0</v>
      </c>
      <c r="E24" s="951"/>
      <c r="F24" s="952"/>
      <c r="G24" s="952"/>
      <c r="I24" s="131" t="s">
        <v>634</v>
      </c>
      <c r="J24" s="464" t="s">
        <v>635</v>
      </c>
      <c r="K24" s="955">
        <f>IFERROR(SUM(C10:C13)/$C$5,0)</f>
        <v>0</v>
      </c>
      <c r="L24" s="956">
        <f t="shared" ref="L24:O24" si="13">IFERROR(SUM(D10:D13)/$C$5,0)</f>
        <v>0</v>
      </c>
      <c r="M24" s="956">
        <f t="shared" si="13"/>
        <v>0</v>
      </c>
      <c r="N24" s="956">
        <f t="shared" si="13"/>
        <v>0</v>
      </c>
      <c r="O24" s="957">
        <f t="shared" si="13"/>
        <v>0</v>
      </c>
    </row>
    <row r="25" spans="2:16" ht="15.75" x14ac:dyDescent="0.3">
      <c r="B25" s="706" t="s">
        <v>267</v>
      </c>
      <c r="C25" s="934">
        <f>'B1. Resultat beräkning'!D43</f>
        <v>0</v>
      </c>
      <c r="D25" s="883">
        <f>'B1. Resultat beräkning'!F43</f>
        <v>0</v>
      </c>
      <c r="E25" s="951"/>
      <c r="F25" s="952"/>
      <c r="G25" s="952"/>
      <c r="I25" s="131"/>
      <c r="J25" s="464" t="s">
        <v>636</v>
      </c>
      <c r="K25" s="958">
        <f>IFERROR(SUM(C14:C17)/$C$5,0)</f>
        <v>0</v>
      </c>
      <c r="L25" s="152">
        <f t="shared" ref="L25:O25" si="14">IFERROR(SUM(D14:D17)/$C$5,0)</f>
        <v>0</v>
      </c>
      <c r="M25" s="152">
        <f t="shared" si="14"/>
        <v>0</v>
      </c>
      <c r="N25" s="152">
        <f t="shared" si="14"/>
        <v>0</v>
      </c>
      <c r="O25" s="959">
        <f t="shared" si="14"/>
        <v>0</v>
      </c>
    </row>
    <row r="26" spans="2:16" ht="16.5" thickBot="1" x14ac:dyDescent="0.35">
      <c r="B26" s="707" t="s">
        <v>268</v>
      </c>
      <c r="C26" s="937">
        <f>'B1. Resultat beräkning'!D44</f>
        <v>0</v>
      </c>
      <c r="D26" s="938">
        <f>'B1. Resultat beräkning'!F44</f>
        <v>0</v>
      </c>
      <c r="E26" s="953"/>
      <c r="F26" s="954"/>
      <c r="G26" s="954"/>
      <c r="I26" s="131"/>
      <c r="J26" s="464" t="s">
        <v>637</v>
      </c>
      <c r="K26" s="958">
        <f>IFERROR(SUM(C18:C21)/$C$5,0)</f>
        <v>0</v>
      </c>
      <c r="L26" s="152">
        <f t="shared" ref="L26:O26" si="15">IFERROR(SUM(D18:D21)/$C$5,0)</f>
        <v>0</v>
      </c>
      <c r="M26" s="152">
        <f t="shared" si="15"/>
        <v>0</v>
      </c>
      <c r="N26" s="152">
        <f t="shared" si="15"/>
        <v>0</v>
      </c>
      <c r="O26" s="959">
        <f t="shared" si="15"/>
        <v>0</v>
      </c>
    </row>
    <row r="27" spans="2:16" ht="15.75" x14ac:dyDescent="0.3">
      <c r="B27" s="708" t="s">
        <v>269</v>
      </c>
      <c r="C27" s="931">
        <f>'B1. Resultat beräkning'!D45</f>
        <v>0</v>
      </c>
      <c r="D27" s="874">
        <f>'B1. Resultat beräkning'!F45</f>
        <v>0</v>
      </c>
      <c r="E27" s="941">
        <f>'C2. Inmatning och verifiering'!$AK26</f>
        <v>0</v>
      </c>
      <c r="F27" s="942">
        <f>'C2. Inmatning och verifiering'!$AK40</f>
        <v>0</v>
      </c>
      <c r="G27" s="942">
        <f>'C2. Inmatning och verifiering'!$AK54</f>
        <v>0</v>
      </c>
      <c r="I27" s="131"/>
      <c r="J27" s="464" t="s">
        <v>118</v>
      </c>
      <c r="K27" s="958">
        <f>IFERROR(SUM(C22:C26)/$C$5,0)</f>
        <v>0</v>
      </c>
      <c r="L27" s="152">
        <f t="shared" ref="L27:O27" si="16">IFERROR(SUM(D22:D26)/$C$5,0)</f>
        <v>0</v>
      </c>
      <c r="M27" s="152">
        <f t="shared" si="16"/>
        <v>0</v>
      </c>
      <c r="N27" s="152">
        <f t="shared" si="16"/>
        <v>0</v>
      </c>
      <c r="O27" s="959">
        <f t="shared" si="16"/>
        <v>0</v>
      </c>
    </row>
    <row r="28" spans="2:16" ht="16.5" thickBot="1" x14ac:dyDescent="0.35">
      <c r="B28" s="709" t="s">
        <v>270</v>
      </c>
      <c r="C28" s="934">
        <f>'B1. Resultat beräkning'!D46</f>
        <v>0</v>
      </c>
      <c r="D28" s="883">
        <f>'B1. Resultat beräkning'!F46</f>
        <v>0</v>
      </c>
      <c r="E28" s="951"/>
      <c r="F28" s="952"/>
      <c r="G28" s="952"/>
      <c r="I28" s="131"/>
      <c r="J28" s="464" t="s">
        <v>120</v>
      </c>
      <c r="K28" s="960">
        <f>IFERROR(SUM(C27:C30)/$C$5,0)</f>
        <v>0</v>
      </c>
      <c r="L28" s="961">
        <f t="shared" ref="L28:O28" si="17">IFERROR(SUM(D27:D30)/$C$5,0)</f>
        <v>0</v>
      </c>
      <c r="M28" s="961">
        <f t="shared" si="17"/>
        <v>0</v>
      </c>
      <c r="N28" s="961">
        <f t="shared" si="17"/>
        <v>0</v>
      </c>
      <c r="O28" s="962">
        <f t="shared" si="17"/>
        <v>0</v>
      </c>
    </row>
    <row r="29" spans="2:16" ht="15.75" x14ac:dyDescent="0.3">
      <c r="B29" s="709" t="s">
        <v>271</v>
      </c>
      <c r="C29" s="934">
        <f>'B1. Resultat beräkning'!D47</f>
        <v>0</v>
      </c>
      <c r="D29" s="883">
        <f>'B1. Resultat beräkning'!F47</f>
        <v>0</v>
      </c>
      <c r="E29" s="951"/>
      <c r="F29" s="952"/>
      <c r="G29" s="952"/>
    </row>
    <row r="30" spans="2:16" ht="16.5" thickBot="1" x14ac:dyDescent="0.35">
      <c r="B30" s="709" t="s">
        <v>272</v>
      </c>
      <c r="C30" s="937">
        <f>'B1. Resultat beräkning'!D48</f>
        <v>0</v>
      </c>
      <c r="D30" s="938">
        <f>'B1. Resultat beräkning'!F48</f>
        <v>0</v>
      </c>
      <c r="E30" s="951"/>
      <c r="F30" s="952"/>
      <c r="G30" s="952"/>
    </row>
    <row r="31" spans="2:16" ht="16.5" thickBot="1" x14ac:dyDescent="0.35">
      <c r="B31" s="825" t="s">
        <v>273</v>
      </c>
      <c r="C31" s="826">
        <f>SUM(C10:C30)</f>
        <v>0</v>
      </c>
      <c r="D31" s="827">
        <f>SUM(D10:D30)</f>
        <v>0</v>
      </c>
      <c r="E31" s="828">
        <f>SUM(E10:E30)</f>
        <v>0</v>
      </c>
      <c r="F31" s="828">
        <f>SUM(F11:F30)</f>
        <v>0</v>
      </c>
      <c r="G31" s="828">
        <f>SUM(G10:G30)</f>
        <v>0</v>
      </c>
    </row>
  </sheetData>
  <sheetProtection algorithmName="SHA-512" hashValue="z/fGzQKk71rznaWrhPY1B/LwRFu3hUolLUUrqsuZF8JB5oYP7a8CdbZaYv2T5+yDq9rLCiDdSPRxKjmtnu7W3Q==" saltValue="mkAMViJtbU2pqB9cGhn6Ew==" spinCount="100000" sheet="1" objects="1" scenarios="1"/>
  <pageMargins left="0.7" right="0.7" top="0.75" bottom="0.75" header="0.3" footer="0.3"/>
  <pageSetup paperSize="9" orientation="portrait"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CDA8-164E-411F-B308-6A554DF700F8}">
  <sheetPr codeName="Blad22">
    <pageSetUpPr fitToPage="1"/>
  </sheetPr>
  <dimension ref="A1:CO70"/>
  <sheetViews>
    <sheetView zoomScale="80" zoomScaleNormal="80" workbookViewId="0">
      <pane xSplit="1" ySplit="12" topLeftCell="B13" activePane="bottomRight" state="frozen"/>
      <selection pane="topRight" activeCell="B1" sqref="B1"/>
      <selection pane="bottomLeft" activeCell="A13" sqref="A13"/>
      <selection pane="bottomRight" activeCell="D19" sqref="D19"/>
    </sheetView>
  </sheetViews>
  <sheetFormatPr defaultColWidth="8.7109375" defaultRowHeight="15" x14ac:dyDescent="0.25"/>
  <cols>
    <col min="1" max="1" width="12.28515625" style="16" customWidth="1"/>
    <col min="2" max="2" width="11.7109375" style="16" customWidth="1"/>
    <col min="3" max="6" width="11.85546875" style="16" customWidth="1"/>
    <col min="7" max="12" width="11.7109375" style="16" customWidth="1"/>
    <col min="13" max="15" width="11.85546875" style="16" customWidth="1"/>
    <col min="16" max="17" width="11.7109375" style="16" customWidth="1"/>
    <col min="18" max="18" width="11.85546875" style="16" customWidth="1"/>
    <col min="19" max="19" width="11.7109375" style="16" customWidth="1"/>
    <col min="20" max="20" width="11.85546875" style="16" customWidth="1"/>
    <col min="21" max="24" width="11.7109375" style="16" customWidth="1"/>
    <col min="25" max="25" width="11.85546875" style="16" customWidth="1"/>
    <col min="26" max="26" width="13.42578125" style="16" customWidth="1"/>
    <col min="27" max="27" width="13.28515625" style="16" customWidth="1"/>
    <col min="28" max="35" width="13.42578125" style="16" customWidth="1"/>
    <col min="36" max="38" width="13.28515625" style="16" customWidth="1"/>
    <col min="39" max="43" width="12.42578125" style="16" customWidth="1"/>
    <col min="44" max="44" width="12.28515625" style="16" customWidth="1"/>
    <col min="45" max="49" width="12.42578125" style="16" customWidth="1"/>
    <col min="50" max="50" width="12.5703125" style="16" customWidth="1"/>
    <col min="51" max="16384" width="8.7109375" style="16"/>
  </cols>
  <sheetData>
    <row r="1" spans="1:93" ht="15.75" customHeight="1" thickBot="1" x14ac:dyDescent="0.35">
      <c r="N1" s="517" t="s">
        <v>477</v>
      </c>
      <c r="O1" s="518"/>
      <c r="P1" s="518"/>
      <c r="Q1" s="518"/>
      <c r="R1" s="518"/>
      <c r="S1" s="518"/>
      <c r="T1" s="351"/>
      <c r="AD1" s="1090" t="s">
        <v>478</v>
      </c>
      <c r="AE1" s="1091"/>
      <c r="AF1" s="1091"/>
      <c r="AG1" s="1091"/>
      <c r="AH1" s="1092"/>
      <c r="AI1" s="237"/>
      <c r="AJ1" s="1104" t="s">
        <v>479</v>
      </c>
    </row>
    <row r="2" spans="1:93" ht="32.25" customHeight="1" thickBot="1" x14ac:dyDescent="0.4">
      <c r="E2" s="520" t="s">
        <v>480</v>
      </c>
      <c r="K2" s="111"/>
      <c r="N2" s="521"/>
      <c r="O2" s="130" t="s">
        <v>481</v>
      </c>
      <c r="P2" s="522"/>
      <c r="Q2" s="523" t="s">
        <v>482</v>
      </c>
      <c r="R2" s="524" t="s">
        <v>483</v>
      </c>
      <c r="S2" s="524" t="s">
        <v>484</v>
      </c>
      <c r="T2" s="525" t="s">
        <v>485</v>
      </c>
      <c r="AD2" s="1317"/>
      <c r="AE2" s="1166" t="s">
        <v>486</v>
      </c>
      <c r="AF2" s="1166" t="s">
        <v>487</v>
      </c>
      <c r="AG2" s="1166" t="s">
        <v>488</v>
      </c>
      <c r="AH2" s="1158" t="s">
        <v>489</v>
      </c>
      <c r="AI2" s="1158" t="s">
        <v>490</v>
      </c>
      <c r="AJ2" s="519"/>
      <c r="AL2" s="519"/>
      <c r="AM2" s="519"/>
      <c r="AN2" s="519"/>
      <c r="AO2" s="519"/>
      <c r="AP2" s="519"/>
      <c r="AQ2" s="519"/>
      <c r="AR2" s="519"/>
      <c r="AS2" s="519"/>
      <c r="AT2" s="519"/>
      <c r="AU2" s="519"/>
    </row>
    <row r="3" spans="1:93" ht="15.75" customHeight="1" thickBot="1" x14ac:dyDescent="0.35">
      <c r="K3" s="111"/>
      <c r="N3" s="526" t="s">
        <v>447</v>
      </c>
      <c r="O3" s="1105" t="s">
        <v>491</v>
      </c>
      <c r="P3" s="1106"/>
      <c r="Q3" s="1107" t="s">
        <v>419</v>
      </c>
      <c r="R3" s="1022"/>
      <c r="S3" s="1022"/>
      <c r="T3" s="1023">
        <f t="shared" ref="T3:T8" si="0">S3-R3</f>
        <v>0</v>
      </c>
      <c r="V3" s="528" t="s">
        <v>492</v>
      </c>
      <c r="W3" s="1027">
        <f>'A. Byggnadsinfo med BBR'!E45</f>
        <v>0</v>
      </c>
      <c r="X3" s="16" t="s">
        <v>84</v>
      </c>
      <c r="AD3" s="1318"/>
      <c r="AE3" s="1315"/>
      <c r="AF3" s="1315"/>
      <c r="AG3" s="1315"/>
      <c r="AH3" s="1316"/>
      <c r="AI3" s="1316"/>
      <c r="AJ3" s="529"/>
      <c r="AK3" s="529"/>
      <c r="AL3" s="529"/>
      <c r="AM3" s="529"/>
      <c r="AN3" s="529"/>
      <c r="AO3" s="529"/>
      <c r="AP3" s="529"/>
      <c r="AQ3" s="529"/>
      <c r="AR3" s="529"/>
      <c r="AS3" s="529"/>
      <c r="AT3" s="529"/>
      <c r="AU3" s="529"/>
    </row>
    <row r="4" spans="1:93" ht="15.75" customHeight="1" thickBot="1" x14ac:dyDescent="0.4">
      <c r="C4" s="464" t="s">
        <v>493</v>
      </c>
      <c r="D4" s="1017">
        <f>'A. Byggnadsinfo med BBR'!C9</f>
        <v>0</v>
      </c>
      <c r="E4" s="1018"/>
      <c r="F4" s="1019"/>
      <c r="J4" s="530" t="s">
        <v>2</v>
      </c>
      <c r="N4" s="531"/>
      <c r="O4" s="1108" t="s">
        <v>494</v>
      </c>
      <c r="P4" s="1109"/>
      <c r="Q4" s="1110" t="s">
        <v>987</v>
      </c>
      <c r="R4" s="1024"/>
      <c r="S4" s="1024"/>
      <c r="T4" s="1025">
        <f t="shared" si="0"/>
        <v>0</v>
      </c>
      <c r="V4" s="528" t="s">
        <v>496</v>
      </c>
      <c r="W4" s="1026">
        <f>'A. Byggnadsinfo med BBR'!E43</f>
        <v>0</v>
      </c>
      <c r="X4" s="118" t="s">
        <v>71</v>
      </c>
      <c r="AC4" s="533"/>
      <c r="AD4" s="1093"/>
      <c r="AE4" s="1094" t="s">
        <v>985</v>
      </c>
      <c r="AF4" s="1094" t="s">
        <v>985</v>
      </c>
      <c r="AG4" s="1094" t="s">
        <v>985</v>
      </c>
      <c r="AH4" s="1095" t="s">
        <v>985</v>
      </c>
      <c r="AI4" s="1095" t="s">
        <v>985</v>
      </c>
      <c r="AJ4" s="205"/>
      <c r="AK4" s="205"/>
      <c r="AL4" s="205"/>
      <c r="AM4" s="205"/>
      <c r="AN4" s="205"/>
      <c r="AO4" s="205"/>
      <c r="AP4" s="205"/>
      <c r="AQ4" s="205"/>
      <c r="AR4" s="205"/>
      <c r="AS4" s="205"/>
      <c r="AT4" s="205"/>
      <c r="AU4" s="205"/>
    </row>
    <row r="5" spans="1:93" ht="15.75" customHeight="1" x14ac:dyDescent="0.3">
      <c r="E5" s="464" t="s">
        <v>497</v>
      </c>
      <c r="F5" s="1020"/>
      <c r="G5" s="131"/>
      <c r="H5" s="534" t="s">
        <v>498</v>
      </c>
      <c r="I5" s="1319"/>
      <c r="J5" s="1277"/>
      <c r="K5" s="1277"/>
      <c r="L5" s="1320"/>
      <c r="N5" s="526" t="s">
        <v>475</v>
      </c>
      <c r="O5" s="1105" t="s">
        <v>491</v>
      </c>
      <c r="P5" s="1106"/>
      <c r="Q5" s="1107" t="s">
        <v>419</v>
      </c>
      <c r="R5" s="1022"/>
      <c r="S5" s="1022"/>
      <c r="T5" s="1023">
        <f t="shared" si="0"/>
        <v>0</v>
      </c>
      <c r="V5" s="528" t="s">
        <v>499</v>
      </c>
      <c r="W5" s="8"/>
      <c r="X5" s="111" t="s">
        <v>500</v>
      </c>
      <c r="AD5" s="1096" t="s">
        <v>447</v>
      </c>
      <c r="AE5" s="1097">
        <f>W$3/100*25+(1-W$3/100)*2</f>
        <v>2</v>
      </c>
      <c r="AF5" s="1097">
        <f>IF(W$5="j",AE5*0.9,AE5)</f>
        <v>2</v>
      </c>
      <c r="AG5" s="1097">
        <f>IFERROR((-V$26/W$4)*(AI$26+V$26)/W$4/AF5,0)</f>
        <v>0</v>
      </c>
      <c r="AH5" s="1098">
        <f>IF(W$7=0,(AF5+AG5),(AF5+AG5)/W$7)</f>
        <v>2</v>
      </c>
      <c r="AI5" s="1098">
        <f>IFERROR(AI26/$W$4,0)</f>
        <v>0</v>
      </c>
      <c r="AJ5" s="205"/>
      <c r="AK5" s="205"/>
      <c r="AL5" s="205"/>
      <c r="AM5" s="205"/>
      <c r="AN5" s="205"/>
      <c r="AO5" s="205"/>
      <c r="AP5" s="205"/>
      <c r="AQ5" s="205"/>
      <c r="AR5" s="205"/>
      <c r="AS5" s="205"/>
      <c r="AT5" s="205"/>
      <c r="AU5" s="205"/>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row>
    <row r="6" spans="1:93" ht="15.75" customHeight="1" thickBot="1" x14ac:dyDescent="0.35">
      <c r="E6" s="464" t="s">
        <v>501</v>
      </c>
      <c r="F6" s="462"/>
      <c r="H6" s="535" t="s">
        <v>67</v>
      </c>
      <c r="I6" s="1319"/>
      <c r="J6" s="1277"/>
      <c r="K6" s="1277"/>
      <c r="L6" s="1320"/>
      <c r="N6" s="531"/>
      <c r="O6" s="1108" t="s">
        <v>494</v>
      </c>
      <c r="P6" s="1109"/>
      <c r="Q6" s="1110" t="s">
        <v>987</v>
      </c>
      <c r="R6" s="1024"/>
      <c r="S6" s="1024"/>
      <c r="T6" s="1025">
        <f t="shared" si="0"/>
        <v>0</v>
      </c>
      <c r="V6" s="515" t="s">
        <v>368</v>
      </c>
      <c r="W6" s="8">
        <v>1</v>
      </c>
      <c r="AC6" s="533"/>
      <c r="AD6" s="1096" t="s">
        <v>475</v>
      </c>
      <c r="AE6" s="1099">
        <f>W$3/100*25+(1-W$3/100)*2</f>
        <v>2</v>
      </c>
      <c r="AF6" s="1099">
        <f>IF(W$5="j",AE6*0.9,AE6)</f>
        <v>2</v>
      </c>
      <c r="AG6" s="1097">
        <f>IFERROR((-V$26/W$4)*(AI$26+V$26)/W$4/AF6,0)</f>
        <v>0</v>
      </c>
      <c r="AH6" s="1098">
        <f>IF(W$7=0,(AF6+AG6),(AF6+AG6)/W$7)</f>
        <v>2</v>
      </c>
      <c r="AI6" s="1098">
        <f>IFERROR(AI40/$W$4,0)</f>
        <v>0</v>
      </c>
      <c r="AJ6" s="205"/>
      <c r="AK6" s="205"/>
      <c r="AL6" s="205"/>
      <c r="AN6" s="515"/>
      <c r="AO6" s="205"/>
      <c r="AP6" s="205"/>
      <c r="AQ6" s="205"/>
      <c r="AR6" s="205"/>
      <c r="AS6" s="205"/>
      <c r="AT6" s="205"/>
      <c r="AU6" s="205"/>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row>
    <row r="7" spans="1:93" ht="15.75" customHeight="1" thickBot="1" x14ac:dyDescent="0.35">
      <c r="A7" s="131"/>
      <c r="E7" s="464" t="s">
        <v>502</v>
      </c>
      <c r="F7" s="1021"/>
      <c r="H7" s="534" t="s">
        <v>503</v>
      </c>
      <c r="I7" s="1319"/>
      <c r="J7" s="1277"/>
      <c r="K7" s="1277"/>
      <c r="L7" s="1320"/>
      <c r="N7" s="526" t="s">
        <v>476</v>
      </c>
      <c r="O7" s="1105" t="s">
        <v>491</v>
      </c>
      <c r="P7" s="1106"/>
      <c r="Q7" s="1107" t="s">
        <v>419</v>
      </c>
      <c r="R7" s="1022"/>
      <c r="S7" s="1022"/>
      <c r="T7" s="1023">
        <f t="shared" si="0"/>
        <v>0</v>
      </c>
      <c r="V7" s="515" t="s">
        <v>504</v>
      </c>
      <c r="W7" s="11">
        <v>1</v>
      </c>
      <c r="AB7" s="464"/>
      <c r="AC7" s="533"/>
      <c r="AD7" s="1100" t="s">
        <v>476</v>
      </c>
      <c r="AE7" s="1101">
        <f>W$3/100*25+(1-W$3/100)*2</f>
        <v>2</v>
      </c>
      <c r="AF7" s="1101">
        <f>IF(W$5="j",AE7*0.9,AE7)</f>
        <v>2</v>
      </c>
      <c r="AG7" s="1101">
        <f>IFERROR((-V$26/W$4)*(AI$26+V$26)/W$4/AF7,0)</f>
        <v>0</v>
      </c>
      <c r="AH7" s="1102">
        <f>IF(W$7=0,(AF7+AG7),(AF7+AG7)/W$7)</f>
        <v>2</v>
      </c>
      <c r="AI7" s="1103">
        <f>IFERROR(AI54/$W$4,0)</f>
        <v>0</v>
      </c>
      <c r="AJ7" s="205"/>
      <c r="AK7" s="205"/>
      <c r="AL7" s="205"/>
      <c r="AM7" s="205"/>
      <c r="AN7" s="205"/>
      <c r="AO7" s="205"/>
      <c r="AP7" s="205"/>
      <c r="AQ7" s="205"/>
      <c r="AR7" s="205"/>
      <c r="AS7" s="205"/>
      <c r="AT7" s="205"/>
      <c r="AU7" s="205"/>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row>
    <row r="8" spans="1:93" ht="15.75" customHeight="1" thickBot="1" x14ac:dyDescent="0.35">
      <c r="A8" s="62"/>
      <c r="E8" s="464" t="s">
        <v>505</v>
      </c>
      <c r="F8" s="1021"/>
      <c r="H8" s="536" t="s">
        <v>506</v>
      </c>
      <c r="I8" s="1321"/>
      <c r="J8" s="1322"/>
      <c r="K8" s="1322"/>
      <c r="L8" s="1323"/>
      <c r="N8" s="531"/>
      <c r="O8" s="1108" t="s">
        <v>494</v>
      </c>
      <c r="P8" s="1109"/>
      <c r="Q8" s="1110" t="s">
        <v>987</v>
      </c>
      <c r="R8" s="1024"/>
      <c r="S8" s="1024"/>
      <c r="T8" s="1025">
        <f t="shared" si="0"/>
        <v>0</v>
      </c>
      <c r="AC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row>
    <row r="9" spans="1:93" ht="15.75" customHeight="1" thickBot="1" x14ac:dyDescent="0.35">
      <c r="B9" s="537" t="s">
        <v>507</v>
      </c>
      <c r="C9" s="538"/>
      <c r="D9" s="538"/>
      <c r="E9" s="538"/>
      <c r="F9" s="538"/>
      <c r="G9" s="539" t="s">
        <v>508</v>
      </c>
      <c r="H9" s="540" t="s">
        <v>509</v>
      </c>
      <c r="I9" s="540"/>
      <c r="J9" s="540"/>
      <c r="K9" s="540"/>
      <c r="L9" s="540"/>
      <c r="M9" s="541" t="s">
        <v>510</v>
      </c>
      <c r="N9" s="542"/>
      <c r="O9" s="542"/>
      <c r="P9" s="542"/>
      <c r="Q9" s="543" t="s">
        <v>511</v>
      </c>
      <c r="R9" s="543"/>
      <c r="S9" s="543"/>
      <c r="T9" s="543"/>
      <c r="U9" s="543"/>
      <c r="V9" s="543"/>
      <c r="W9" s="544" t="s">
        <v>512</v>
      </c>
      <c r="X9" s="544"/>
      <c r="Y9" s="544"/>
      <c r="Z9" s="544"/>
      <c r="AA9" s="545" t="s">
        <v>513</v>
      </c>
      <c r="AB9" s="545"/>
      <c r="AC9" s="546"/>
      <c r="AD9" s="546"/>
      <c r="AE9" s="547" t="s">
        <v>514</v>
      </c>
      <c r="AF9" s="548"/>
      <c r="AG9" s="548"/>
      <c r="AH9" s="545" t="s">
        <v>515</v>
      </c>
      <c r="AI9" s="545"/>
      <c r="AJ9" s="549" t="s">
        <v>516</v>
      </c>
      <c r="AK9" s="549"/>
      <c r="AL9" s="549" t="s">
        <v>517</v>
      </c>
      <c r="AM9" s="549"/>
      <c r="AN9" s="549"/>
      <c r="AO9" s="550" t="s">
        <v>518</v>
      </c>
      <c r="AP9" s="550"/>
      <c r="AQ9" s="550"/>
      <c r="AR9" s="550"/>
      <c r="AS9" s="550"/>
      <c r="AT9" s="551" t="s">
        <v>517</v>
      </c>
      <c r="AU9" s="551" t="s">
        <v>517</v>
      </c>
      <c r="AV9" s="551" t="s">
        <v>517</v>
      </c>
      <c r="AW9" s="551" t="s">
        <v>517</v>
      </c>
      <c r="AX9" s="550"/>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row>
    <row r="10" spans="1:93" ht="15.75" customHeight="1" thickBot="1" x14ac:dyDescent="0.35">
      <c r="A10" s="552" t="s">
        <v>519</v>
      </c>
      <c r="B10" s="1028"/>
      <c r="C10" s="1028"/>
      <c r="D10" s="1028"/>
      <c r="E10" s="1028"/>
      <c r="F10" s="1029"/>
      <c r="G10" s="1028" t="s">
        <v>520</v>
      </c>
      <c r="H10" s="1030"/>
      <c r="I10" s="1028" t="s">
        <v>521</v>
      </c>
      <c r="J10" s="1028"/>
      <c r="K10" s="1028"/>
      <c r="L10" s="1029"/>
      <c r="M10" s="1030"/>
      <c r="N10" s="1028"/>
      <c r="O10" s="1028"/>
      <c r="P10" s="1029"/>
      <c r="Q10" s="1029"/>
      <c r="R10" s="1030"/>
      <c r="S10" s="1031" t="s">
        <v>522</v>
      </c>
      <c r="T10" s="1028"/>
      <c r="U10" s="1032"/>
      <c r="V10" s="840"/>
      <c r="W10" s="1033"/>
      <c r="X10" s="1031" t="s">
        <v>522</v>
      </c>
      <c r="Y10" s="1030"/>
      <c r="Z10" s="1029"/>
      <c r="AA10" s="1030"/>
      <c r="AB10" s="1028"/>
      <c r="AC10" s="1028"/>
      <c r="AD10" s="1028"/>
      <c r="AE10" s="1028" t="s">
        <v>523</v>
      </c>
      <c r="AF10" s="1028" t="s">
        <v>523</v>
      </c>
      <c r="AG10" s="1029"/>
      <c r="AH10" s="1034"/>
      <c r="AI10" s="1035"/>
      <c r="AJ10" s="1036"/>
      <c r="AK10" s="1037"/>
      <c r="AL10" s="1037"/>
      <c r="AM10" s="1032"/>
      <c r="AN10" s="808"/>
      <c r="AO10" s="1034"/>
      <c r="AP10" s="1032"/>
      <c r="AQ10" s="1038"/>
      <c r="AR10" s="1038"/>
      <c r="AS10" s="1038"/>
      <c r="AT10" s="1038"/>
      <c r="AU10" s="1038"/>
      <c r="AV10" s="1038"/>
      <c r="AW10" s="1038"/>
      <c r="AX10" s="808"/>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row>
    <row r="11" spans="1:93" ht="81.75" customHeight="1" thickBot="1" x14ac:dyDescent="0.3">
      <c r="A11" s="553"/>
      <c r="B11" s="554" t="s">
        <v>524</v>
      </c>
      <c r="C11" s="554" t="s">
        <v>525</v>
      </c>
      <c r="D11" s="554" t="s">
        <v>526</v>
      </c>
      <c r="E11" s="554" t="s">
        <v>527</v>
      </c>
      <c r="F11" s="555" t="s">
        <v>528</v>
      </c>
      <c r="G11" s="556" t="s">
        <v>529</v>
      </c>
      <c r="H11" s="557" t="s">
        <v>530</v>
      </c>
      <c r="I11" s="554" t="s">
        <v>531</v>
      </c>
      <c r="J11" s="554" t="s">
        <v>532</v>
      </c>
      <c r="K11" s="554" t="s">
        <v>533</v>
      </c>
      <c r="L11" s="555" t="s">
        <v>534</v>
      </c>
      <c r="M11" s="557" t="s">
        <v>535</v>
      </c>
      <c r="N11" s="554" t="s">
        <v>536</v>
      </c>
      <c r="O11" s="554" t="s">
        <v>537</v>
      </c>
      <c r="P11" s="555" t="s">
        <v>538</v>
      </c>
      <c r="Q11" s="556" t="s">
        <v>539</v>
      </c>
      <c r="R11" s="557" t="s">
        <v>540</v>
      </c>
      <c r="S11" s="554" t="s">
        <v>541</v>
      </c>
      <c r="T11" s="554" t="s">
        <v>542</v>
      </c>
      <c r="U11" s="554" t="s">
        <v>543</v>
      </c>
      <c r="V11" s="556" t="s">
        <v>544</v>
      </c>
      <c r="W11" s="557" t="s">
        <v>545</v>
      </c>
      <c r="X11" s="554" t="s">
        <v>546</v>
      </c>
      <c r="Y11" s="554" t="s">
        <v>547</v>
      </c>
      <c r="Z11" s="555" t="s">
        <v>548</v>
      </c>
      <c r="AA11" s="557" t="s">
        <v>549</v>
      </c>
      <c r="AB11" s="554" t="s">
        <v>550</v>
      </c>
      <c r="AC11" s="558" t="s">
        <v>551</v>
      </c>
      <c r="AD11" s="554" t="s">
        <v>552</v>
      </c>
      <c r="AE11" s="554" t="s">
        <v>986</v>
      </c>
      <c r="AF11" s="554" t="s">
        <v>553</v>
      </c>
      <c r="AG11" s="555" t="s">
        <v>554</v>
      </c>
      <c r="AH11" s="557" t="s">
        <v>555</v>
      </c>
      <c r="AI11" s="555" t="s">
        <v>556</v>
      </c>
      <c r="AJ11" s="557" t="s">
        <v>557</v>
      </c>
      <c r="AK11" s="554" t="s">
        <v>558</v>
      </c>
      <c r="AL11" s="558" t="s">
        <v>559</v>
      </c>
      <c r="AM11" s="554" t="s">
        <v>560</v>
      </c>
      <c r="AN11" s="556" t="s">
        <v>561</v>
      </c>
      <c r="AO11" s="559" t="s">
        <v>562</v>
      </c>
      <c r="AP11" s="560" t="s">
        <v>563</v>
      </c>
      <c r="AQ11" s="560" t="s">
        <v>564</v>
      </c>
      <c r="AR11" s="560" t="s">
        <v>565</v>
      </c>
      <c r="AS11" s="560" t="s">
        <v>566</v>
      </c>
      <c r="AT11" s="560" t="s">
        <v>567</v>
      </c>
      <c r="AU11" s="560" t="s">
        <v>568</v>
      </c>
      <c r="AV11" s="561" t="s">
        <v>569</v>
      </c>
      <c r="AW11" s="561" t="s">
        <v>570</v>
      </c>
      <c r="AX11" s="562" t="s">
        <v>462</v>
      </c>
    </row>
    <row r="12" spans="1:93" ht="18.75" thickBot="1" x14ac:dyDescent="0.35">
      <c r="A12" s="563" t="s">
        <v>571</v>
      </c>
      <c r="B12" s="564" t="s">
        <v>252</v>
      </c>
      <c r="C12" s="564" t="s">
        <v>252</v>
      </c>
      <c r="D12" s="564" t="s">
        <v>252</v>
      </c>
      <c r="E12" s="564" t="s">
        <v>252</v>
      </c>
      <c r="F12" s="565" t="s">
        <v>252</v>
      </c>
      <c r="G12" s="566" t="s">
        <v>252</v>
      </c>
      <c r="H12" s="567" t="s">
        <v>252</v>
      </c>
      <c r="I12" s="564" t="s">
        <v>252</v>
      </c>
      <c r="J12" s="564" t="s">
        <v>252</v>
      </c>
      <c r="K12" s="564" t="s">
        <v>252</v>
      </c>
      <c r="L12" s="565" t="s">
        <v>252</v>
      </c>
      <c r="M12" s="567" t="s">
        <v>252</v>
      </c>
      <c r="N12" s="564" t="s">
        <v>252</v>
      </c>
      <c r="O12" s="564" t="s">
        <v>252</v>
      </c>
      <c r="P12" s="565" t="s">
        <v>252</v>
      </c>
      <c r="Q12" s="568" t="s">
        <v>572</v>
      </c>
      <c r="R12" s="567" t="s">
        <v>252</v>
      </c>
      <c r="S12" s="564" t="s">
        <v>252</v>
      </c>
      <c r="T12" s="564" t="s">
        <v>252</v>
      </c>
      <c r="U12" s="564" t="s">
        <v>252</v>
      </c>
      <c r="V12" s="566" t="s">
        <v>252</v>
      </c>
      <c r="W12" s="567" t="s">
        <v>252</v>
      </c>
      <c r="X12" s="564" t="s">
        <v>252</v>
      </c>
      <c r="Y12" s="564" t="s">
        <v>252</v>
      </c>
      <c r="Z12" s="565" t="s">
        <v>252</v>
      </c>
      <c r="AA12" s="567" t="s">
        <v>252</v>
      </c>
      <c r="AB12" s="564" t="s">
        <v>252</v>
      </c>
      <c r="AC12" s="564" t="s">
        <v>252</v>
      </c>
      <c r="AD12" s="564"/>
      <c r="AE12" s="564" t="s">
        <v>252</v>
      </c>
      <c r="AF12" s="564" t="s">
        <v>252</v>
      </c>
      <c r="AG12" s="565" t="s">
        <v>252</v>
      </c>
      <c r="AH12" s="567" t="s">
        <v>252</v>
      </c>
      <c r="AI12" s="565" t="s">
        <v>252</v>
      </c>
      <c r="AJ12" s="569" t="s">
        <v>252</v>
      </c>
      <c r="AK12" s="570" t="s">
        <v>252</v>
      </c>
      <c r="AL12" s="571" t="s">
        <v>252</v>
      </c>
      <c r="AM12" s="571" t="s">
        <v>252</v>
      </c>
      <c r="AN12" s="572" t="s">
        <v>252</v>
      </c>
      <c r="AO12" s="573" t="s">
        <v>252</v>
      </c>
      <c r="AP12" s="574" t="s">
        <v>252</v>
      </c>
      <c r="AQ12" s="574" t="s">
        <v>252</v>
      </c>
      <c r="AR12" s="574" t="s">
        <v>252</v>
      </c>
      <c r="AS12" s="574"/>
      <c r="AT12" s="574" t="s">
        <v>252</v>
      </c>
      <c r="AU12" s="574" t="s">
        <v>252</v>
      </c>
      <c r="AV12" s="574" t="s">
        <v>252</v>
      </c>
      <c r="AW12" s="574" t="s">
        <v>252</v>
      </c>
      <c r="AX12" s="575" t="s">
        <v>252</v>
      </c>
    </row>
    <row r="13" spans="1:93" ht="15.75" x14ac:dyDescent="0.3">
      <c r="A13" s="496">
        <v>1</v>
      </c>
      <c r="B13" s="460"/>
      <c r="C13" s="965"/>
      <c r="D13" s="965"/>
      <c r="E13" s="965"/>
      <c r="F13" s="966"/>
      <c r="G13" s="273"/>
      <c r="H13" s="967"/>
      <c r="I13" s="965"/>
      <c r="J13" s="968"/>
      <c r="K13" s="968"/>
      <c r="L13" s="966"/>
      <c r="M13" s="967"/>
      <c r="N13" s="965"/>
      <c r="O13" s="1013"/>
      <c r="P13" s="969"/>
      <c r="Q13" s="1014"/>
      <c r="R13" s="967"/>
      <c r="S13" s="965">
        <f t="shared" ref="S13:S25" si="1">Q13*55/$W$7</f>
        <v>0</v>
      </c>
      <c r="T13" s="965"/>
      <c r="U13" s="965"/>
      <c r="V13" s="970"/>
      <c r="W13" s="971">
        <f t="shared" ref="W13:W25" si="2">B13-H13-M13-R13</f>
        <v>0</v>
      </c>
      <c r="X13" s="1015">
        <f>G13-S13</f>
        <v>0</v>
      </c>
      <c r="Y13" s="972">
        <f>E13-K13-O13-T13</f>
        <v>0</v>
      </c>
      <c r="Z13" s="874">
        <f>F13-L13-P13-U13</f>
        <v>0</v>
      </c>
      <c r="AA13" s="973">
        <f>W13+X13+Y13+Z13</f>
        <v>0</v>
      </c>
      <c r="AB13" s="873">
        <f t="shared" ref="AB13:AB25" si="3">IF(AA13&gt;0,-0.05*AA13*T$3,0)</f>
        <v>0</v>
      </c>
      <c r="AC13" s="873">
        <f t="shared" ref="AC13:AC24" si="4">IF(AA13&gt;0,0.7*T$4*W$4/W$6*720/8760,0)</f>
        <v>0</v>
      </c>
      <c r="AD13" s="974"/>
      <c r="AE13" s="873">
        <f>IF(AD13=0,0,(AA13+AB13+AC13)/AD13)</f>
        <v>0</v>
      </c>
      <c r="AF13" s="975"/>
      <c r="AG13" s="966"/>
      <c r="AH13" s="976"/>
      <c r="AI13" s="977">
        <f t="shared" ref="AI13:AI24" si="5">R13+S13+T13+U13-V13+AH13</f>
        <v>0</v>
      </c>
      <c r="AJ13" s="967"/>
      <c r="AK13" s="873">
        <f>C13-I13-N13-S13-X13+AJ13</f>
        <v>0</v>
      </c>
      <c r="AL13" s="965"/>
      <c r="AM13" s="965"/>
      <c r="AN13" s="966"/>
      <c r="AO13" s="967"/>
      <c r="AP13" s="965"/>
      <c r="AQ13" s="873">
        <f t="shared" ref="AQ13:AQ25" si="6">D13-J13</f>
        <v>0</v>
      </c>
      <c r="AR13" s="873">
        <f>AO13-AP13</f>
        <v>0</v>
      </c>
      <c r="AS13" s="978"/>
      <c r="AT13" s="873">
        <f>IF(AS13&gt;0,AQ13/AS13,0)</f>
        <v>0</v>
      </c>
      <c r="AU13" s="873">
        <f>IF(AS13&gt;0,AR13/AS13,0)</f>
        <v>0</v>
      </c>
      <c r="AV13" s="965"/>
      <c r="AW13" s="965"/>
      <c r="AX13" s="966"/>
    </row>
    <row r="14" spans="1:93" ht="15.75" x14ac:dyDescent="0.3">
      <c r="A14" s="496">
        <v>2</v>
      </c>
      <c r="B14" s="461"/>
      <c r="C14" s="965"/>
      <c r="D14" s="965"/>
      <c r="E14" s="965"/>
      <c r="F14" s="966"/>
      <c r="G14" s="979"/>
      <c r="H14" s="967"/>
      <c r="I14" s="965"/>
      <c r="J14" s="968"/>
      <c r="K14" s="968"/>
      <c r="L14" s="966"/>
      <c r="M14" s="967"/>
      <c r="N14" s="965"/>
      <c r="O14" s="986"/>
      <c r="P14" s="980"/>
      <c r="Q14" s="1016"/>
      <c r="R14" s="967"/>
      <c r="S14" s="965">
        <f t="shared" si="1"/>
        <v>0</v>
      </c>
      <c r="T14" s="965"/>
      <c r="U14" s="965"/>
      <c r="V14" s="981"/>
      <c r="W14" s="971">
        <f t="shared" si="2"/>
        <v>0</v>
      </c>
      <c r="X14" s="882">
        <f t="shared" ref="X14:X25" si="7">G14-S14</f>
        <v>0</v>
      </c>
      <c r="Y14" s="972">
        <f t="shared" ref="Y14:Y24" si="8">E14-K14-O14-T14</f>
        <v>0</v>
      </c>
      <c r="Z14" s="982">
        <f t="shared" ref="Z14:Z25" si="9">F14-L14-P14-U14</f>
        <v>0</v>
      </c>
      <c r="AA14" s="973">
        <f t="shared" ref="AA14:AA24" si="10">W14+X14+Y14+Z14</f>
        <v>0</v>
      </c>
      <c r="AB14" s="873">
        <f t="shared" si="3"/>
        <v>0</v>
      </c>
      <c r="AC14" s="873">
        <f t="shared" si="4"/>
        <v>0</v>
      </c>
      <c r="AD14" s="974"/>
      <c r="AE14" s="882">
        <f t="shared" ref="AE14:AE25" si="11">IF(AD14=0,0,(AA14+AB14+AC14)/AD14)</f>
        <v>0</v>
      </c>
      <c r="AF14" s="975"/>
      <c r="AG14" s="966"/>
      <c r="AH14" s="924"/>
      <c r="AI14" s="883">
        <f t="shared" si="5"/>
        <v>0</v>
      </c>
      <c r="AJ14" s="967"/>
      <c r="AK14" s="873">
        <f t="shared" ref="AK14:AK25" si="12">C14-I14-N14-S14-X14+AJ14</f>
        <v>0</v>
      </c>
      <c r="AL14" s="983"/>
      <c r="AM14" s="983"/>
      <c r="AN14" s="981"/>
      <c r="AO14" s="967"/>
      <c r="AP14" s="983"/>
      <c r="AQ14" s="873">
        <f t="shared" si="6"/>
        <v>0</v>
      </c>
      <c r="AR14" s="873">
        <f t="shared" ref="AR14:AR25" si="13">AO14-AP14</f>
        <v>0</v>
      </c>
      <c r="AS14" s="983"/>
      <c r="AT14" s="873">
        <f t="shared" ref="AT14:AT25" si="14">IF(AS14&gt;0,AQ14/AS14,0)</f>
        <v>0</v>
      </c>
      <c r="AU14" s="873">
        <f t="shared" ref="AU14:AU25" si="15">IF(AS14&gt;0,AR14/AS14,0)</f>
        <v>0</v>
      </c>
      <c r="AV14" s="965"/>
      <c r="AW14" s="965"/>
      <c r="AX14" s="966"/>
    </row>
    <row r="15" spans="1:93" ht="15.75" x14ac:dyDescent="0.3">
      <c r="A15" s="496">
        <v>3</v>
      </c>
      <c r="B15" s="461"/>
      <c r="C15" s="965"/>
      <c r="D15" s="965"/>
      <c r="E15" s="965"/>
      <c r="F15" s="966"/>
      <c r="G15" s="979"/>
      <c r="H15" s="967"/>
      <c r="I15" s="965"/>
      <c r="J15" s="968"/>
      <c r="K15" s="968"/>
      <c r="L15" s="966"/>
      <c r="M15" s="967"/>
      <c r="N15" s="965"/>
      <c r="O15" s="986"/>
      <c r="P15" s="980"/>
      <c r="Q15" s="1016"/>
      <c r="R15" s="967"/>
      <c r="S15" s="965">
        <f t="shared" si="1"/>
        <v>0</v>
      </c>
      <c r="T15" s="965"/>
      <c r="U15" s="965"/>
      <c r="V15" s="981"/>
      <c r="W15" s="971">
        <f t="shared" si="2"/>
        <v>0</v>
      </c>
      <c r="X15" s="882">
        <f t="shared" si="7"/>
        <v>0</v>
      </c>
      <c r="Y15" s="972">
        <f t="shared" si="8"/>
        <v>0</v>
      </c>
      <c r="Z15" s="982">
        <f t="shared" si="9"/>
        <v>0</v>
      </c>
      <c r="AA15" s="973">
        <f t="shared" si="10"/>
        <v>0</v>
      </c>
      <c r="AB15" s="873">
        <f t="shared" si="3"/>
        <v>0</v>
      </c>
      <c r="AC15" s="873">
        <f t="shared" si="4"/>
        <v>0</v>
      </c>
      <c r="AD15" s="974"/>
      <c r="AE15" s="882">
        <f t="shared" si="11"/>
        <v>0</v>
      </c>
      <c r="AF15" s="975"/>
      <c r="AG15" s="966"/>
      <c r="AH15" s="924"/>
      <c r="AI15" s="883">
        <f t="shared" si="5"/>
        <v>0</v>
      </c>
      <c r="AJ15" s="967"/>
      <c r="AK15" s="873">
        <f t="shared" si="12"/>
        <v>0</v>
      </c>
      <c r="AL15" s="983"/>
      <c r="AM15" s="983"/>
      <c r="AN15" s="981"/>
      <c r="AO15" s="967"/>
      <c r="AP15" s="983"/>
      <c r="AQ15" s="873">
        <f t="shared" si="6"/>
        <v>0</v>
      </c>
      <c r="AR15" s="873">
        <f t="shared" si="13"/>
        <v>0</v>
      </c>
      <c r="AS15" s="983"/>
      <c r="AT15" s="873">
        <f t="shared" si="14"/>
        <v>0</v>
      </c>
      <c r="AU15" s="873">
        <f t="shared" si="15"/>
        <v>0</v>
      </c>
      <c r="AV15" s="965"/>
      <c r="AW15" s="965"/>
      <c r="AX15" s="966"/>
    </row>
    <row r="16" spans="1:93" ht="15.75" x14ac:dyDescent="0.3">
      <c r="A16" s="496">
        <v>4</v>
      </c>
      <c r="B16" s="461"/>
      <c r="C16" s="965"/>
      <c r="D16" s="965"/>
      <c r="E16" s="965"/>
      <c r="F16" s="966"/>
      <c r="G16" s="979"/>
      <c r="H16" s="967"/>
      <c r="I16" s="965"/>
      <c r="J16" s="968"/>
      <c r="K16" s="968"/>
      <c r="L16" s="966"/>
      <c r="M16" s="967"/>
      <c r="N16" s="965"/>
      <c r="O16" s="986"/>
      <c r="P16" s="980"/>
      <c r="Q16" s="1016"/>
      <c r="R16" s="967"/>
      <c r="S16" s="965">
        <f t="shared" si="1"/>
        <v>0</v>
      </c>
      <c r="T16" s="965"/>
      <c r="U16" s="965"/>
      <c r="V16" s="981"/>
      <c r="W16" s="971">
        <f t="shared" si="2"/>
        <v>0</v>
      </c>
      <c r="X16" s="882">
        <f t="shared" si="7"/>
        <v>0</v>
      </c>
      <c r="Y16" s="972">
        <f t="shared" si="8"/>
        <v>0</v>
      </c>
      <c r="Z16" s="982">
        <f t="shared" si="9"/>
        <v>0</v>
      </c>
      <c r="AA16" s="973">
        <f t="shared" si="10"/>
        <v>0</v>
      </c>
      <c r="AB16" s="873">
        <f t="shared" si="3"/>
        <v>0</v>
      </c>
      <c r="AC16" s="873">
        <f t="shared" si="4"/>
        <v>0</v>
      </c>
      <c r="AD16" s="974"/>
      <c r="AE16" s="882">
        <f t="shared" si="11"/>
        <v>0</v>
      </c>
      <c r="AF16" s="975"/>
      <c r="AG16" s="966"/>
      <c r="AH16" s="924"/>
      <c r="AI16" s="883">
        <f t="shared" si="5"/>
        <v>0</v>
      </c>
      <c r="AJ16" s="967"/>
      <c r="AK16" s="873">
        <f t="shared" si="12"/>
        <v>0</v>
      </c>
      <c r="AL16" s="983"/>
      <c r="AM16" s="983"/>
      <c r="AN16" s="981"/>
      <c r="AO16" s="967"/>
      <c r="AP16" s="983"/>
      <c r="AQ16" s="873">
        <f t="shared" si="6"/>
        <v>0</v>
      </c>
      <c r="AR16" s="873">
        <f t="shared" si="13"/>
        <v>0</v>
      </c>
      <c r="AS16" s="983"/>
      <c r="AT16" s="873">
        <f t="shared" si="14"/>
        <v>0</v>
      </c>
      <c r="AU16" s="873">
        <f t="shared" si="15"/>
        <v>0</v>
      </c>
      <c r="AV16" s="965"/>
      <c r="AW16" s="965"/>
      <c r="AX16" s="966"/>
    </row>
    <row r="17" spans="1:50" ht="15.75" x14ac:dyDescent="0.3">
      <c r="A17" s="496">
        <v>5</v>
      </c>
      <c r="B17" s="461"/>
      <c r="C17" s="965"/>
      <c r="D17" s="965"/>
      <c r="E17" s="965"/>
      <c r="F17" s="966"/>
      <c r="G17" s="979"/>
      <c r="H17" s="967"/>
      <c r="I17" s="965"/>
      <c r="J17" s="968"/>
      <c r="K17" s="968"/>
      <c r="L17" s="966"/>
      <c r="M17" s="967"/>
      <c r="N17" s="965"/>
      <c r="O17" s="986"/>
      <c r="P17" s="980"/>
      <c r="Q17" s="1016"/>
      <c r="R17" s="967"/>
      <c r="S17" s="965">
        <f t="shared" si="1"/>
        <v>0</v>
      </c>
      <c r="T17" s="965"/>
      <c r="U17" s="965"/>
      <c r="V17" s="981"/>
      <c r="W17" s="971">
        <f t="shared" si="2"/>
        <v>0</v>
      </c>
      <c r="X17" s="882">
        <f t="shared" si="7"/>
        <v>0</v>
      </c>
      <c r="Y17" s="972">
        <f t="shared" si="8"/>
        <v>0</v>
      </c>
      <c r="Z17" s="982">
        <f t="shared" si="9"/>
        <v>0</v>
      </c>
      <c r="AA17" s="973">
        <f t="shared" si="10"/>
        <v>0</v>
      </c>
      <c r="AB17" s="873">
        <f t="shared" si="3"/>
        <v>0</v>
      </c>
      <c r="AC17" s="873">
        <f t="shared" si="4"/>
        <v>0</v>
      </c>
      <c r="AD17" s="974"/>
      <c r="AE17" s="882">
        <f t="shared" si="11"/>
        <v>0</v>
      </c>
      <c r="AF17" s="975"/>
      <c r="AG17" s="966"/>
      <c r="AH17" s="924"/>
      <c r="AI17" s="883">
        <f t="shared" si="5"/>
        <v>0</v>
      </c>
      <c r="AJ17" s="967"/>
      <c r="AK17" s="873">
        <f t="shared" si="12"/>
        <v>0</v>
      </c>
      <c r="AL17" s="983"/>
      <c r="AM17" s="983"/>
      <c r="AN17" s="981"/>
      <c r="AO17" s="967"/>
      <c r="AP17" s="983"/>
      <c r="AQ17" s="873">
        <f t="shared" si="6"/>
        <v>0</v>
      </c>
      <c r="AR17" s="873">
        <f t="shared" si="13"/>
        <v>0</v>
      </c>
      <c r="AS17" s="983"/>
      <c r="AT17" s="873">
        <f t="shared" si="14"/>
        <v>0</v>
      </c>
      <c r="AU17" s="873">
        <f t="shared" si="15"/>
        <v>0</v>
      </c>
      <c r="AV17" s="965"/>
      <c r="AW17" s="965"/>
      <c r="AX17" s="966"/>
    </row>
    <row r="18" spans="1:50" ht="15.75" x14ac:dyDescent="0.3">
      <c r="A18" s="496">
        <v>6</v>
      </c>
      <c r="B18" s="461"/>
      <c r="C18" s="965"/>
      <c r="D18" s="965"/>
      <c r="E18" s="965"/>
      <c r="F18" s="966"/>
      <c r="G18" s="979"/>
      <c r="H18" s="967"/>
      <c r="I18" s="965"/>
      <c r="J18" s="968"/>
      <c r="K18" s="968"/>
      <c r="L18" s="966"/>
      <c r="M18" s="967"/>
      <c r="N18" s="965"/>
      <c r="O18" s="986"/>
      <c r="P18" s="980"/>
      <c r="Q18" s="1016"/>
      <c r="R18" s="967"/>
      <c r="S18" s="965">
        <f t="shared" si="1"/>
        <v>0</v>
      </c>
      <c r="T18" s="965"/>
      <c r="U18" s="965"/>
      <c r="V18" s="981"/>
      <c r="W18" s="971">
        <f t="shared" si="2"/>
        <v>0</v>
      </c>
      <c r="X18" s="882">
        <f t="shared" si="7"/>
        <v>0</v>
      </c>
      <c r="Y18" s="972">
        <f t="shared" si="8"/>
        <v>0</v>
      </c>
      <c r="Z18" s="982">
        <f t="shared" si="9"/>
        <v>0</v>
      </c>
      <c r="AA18" s="973">
        <f t="shared" si="10"/>
        <v>0</v>
      </c>
      <c r="AB18" s="873">
        <f t="shared" si="3"/>
        <v>0</v>
      </c>
      <c r="AC18" s="873">
        <f t="shared" si="4"/>
        <v>0</v>
      </c>
      <c r="AD18" s="984"/>
      <c r="AE18" s="882">
        <f t="shared" si="11"/>
        <v>0</v>
      </c>
      <c r="AF18" s="975"/>
      <c r="AG18" s="966"/>
      <c r="AH18" s="924"/>
      <c r="AI18" s="883">
        <f t="shared" si="5"/>
        <v>0</v>
      </c>
      <c r="AJ18" s="967"/>
      <c r="AK18" s="873">
        <f t="shared" si="12"/>
        <v>0</v>
      </c>
      <c r="AL18" s="983"/>
      <c r="AM18" s="983"/>
      <c r="AN18" s="981"/>
      <c r="AO18" s="967"/>
      <c r="AP18" s="983"/>
      <c r="AQ18" s="873">
        <f t="shared" si="6"/>
        <v>0</v>
      </c>
      <c r="AR18" s="873">
        <f t="shared" si="13"/>
        <v>0</v>
      </c>
      <c r="AS18" s="983"/>
      <c r="AT18" s="873">
        <f t="shared" si="14"/>
        <v>0</v>
      </c>
      <c r="AU18" s="873">
        <f t="shared" si="15"/>
        <v>0</v>
      </c>
      <c r="AV18" s="965"/>
      <c r="AW18" s="965"/>
      <c r="AX18" s="966"/>
    </row>
    <row r="19" spans="1:50" ht="15.75" x14ac:dyDescent="0.3">
      <c r="A19" s="496">
        <v>7</v>
      </c>
      <c r="B19" s="461"/>
      <c r="C19" s="965"/>
      <c r="D19" s="965"/>
      <c r="E19" s="965"/>
      <c r="F19" s="966"/>
      <c r="G19" s="979"/>
      <c r="H19" s="967"/>
      <c r="I19" s="965"/>
      <c r="J19" s="968"/>
      <c r="K19" s="968"/>
      <c r="L19" s="966"/>
      <c r="M19" s="967"/>
      <c r="N19" s="965"/>
      <c r="O19" s="986"/>
      <c r="P19" s="980"/>
      <c r="Q19" s="1016"/>
      <c r="R19" s="967"/>
      <c r="S19" s="965">
        <f t="shared" si="1"/>
        <v>0</v>
      </c>
      <c r="T19" s="965"/>
      <c r="U19" s="965"/>
      <c r="V19" s="981"/>
      <c r="W19" s="971">
        <f t="shared" si="2"/>
        <v>0</v>
      </c>
      <c r="X19" s="882">
        <f t="shared" si="7"/>
        <v>0</v>
      </c>
      <c r="Y19" s="972">
        <f t="shared" si="8"/>
        <v>0</v>
      </c>
      <c r="Z19" s="982">
        <f t="shared" si="9"/>
        <v>0</v>
      </c>
      <c r="AA19" s="973">
        <f t="shared" si="10"/>
        <v>0</v>
      </c>
      <c r="AB19" s="873">
        <f t="shared" si="3"/>
        <v>0</v>
      </c>
      <c r="AC19" s="873">
        <f t="shared" si="4"/>
        <v>0</v>
      </c>
      <c r="AD19" s="984"/>
      <c r="AE19" s="882">
        <f t="shared" si="11"/>
        <v>0</v>
      </c>
      <c r="AF19" s="975"/>
      <c r="AG19" s="966"/>
      <c r="AH19" s="924"/>
      <c r="AI19" s="883">
        <f t="shared" si="5"/>
        <v>0</v>
      </c>
      <c r="AJ19" s="967"/>
      <c r="AK19" s="873">
        <f t="shared" si="12"/>
        <v>0</v>
      </c>
      <c r="AL19" s="983"/>
      <c r="AM19" s="983"/>
      <c r="AN19" s="981"/>
      <c r="AO19" s="967"/>
      <c r="AP19" s="983"/>
      <c r="AQ19" s="873">
        <f t="shared" si="6"/>
        <v>0</v>
      </c>
      <c r="AR19" s="873">
        <f t="shared" si="13"/>
        <v>0</v>
      </c>
      <c r="AS19" s="983"/>
      <c r="AT19" s="873">
        <f t="shared" si="14"/>
        <v>0</v>
      </c>
      <c r="AU19" s="873">
        <f t="shared" si="15"/>
        <v>0</v>
      </c>
      <c r="AV19" s="965"/>
      <c r="AW19" s="965"/>
      <c r="AX19" s="966"/>
    </row>
    <row r="20" spans="1:50" ht="15.75" x14ac:dyDescent="0.3">
      <c r="A20" s="496">
        <v>8</v>
      </c>
      <c r="B20" s="461"/>
      <c r="C20" s="965"/>
      <c r="D20" s="965"/>
      <c r="E20" s="965"/>
      <c r="F20" s="966"/>
      <c r="G20" s="979"/>
      <c r="H20" s="967"/>
      <c r="I20" s="965"/>
      <c r="J20" s="968"/>
      <c r="K20" s="968"/>
      <c r="L20" s="966"/>
      <c r="M20" s="967"/>
      <c r="N20" s="965"/>
      <c r="O20" s="986"/>
      <c r="P20" s="980"/>
      <c r="Q20" s="1016"/>
      <c r="R20" s="967"/>
      <c r="S20" s="965">
        <f t="shared" si="1"/>
        <v>0</v>
      </c>
      <c r="T20" s="965"/>
      <c r="U20" s="965"/>
      <c r="V20" s="981"/>
      <c r="W20" s="971">
        <f t="shared" si="2"/>
        <v>0</v>
      </c>
      <c r="X20" s="882">
        <f t="shared" si="7"/>
        <v>0</v>
      </c>
      <c r="Y20" s="972">
        <f t="shared" si="8"/>
        <v>0</v>
      </c>
      <c r="Z20" s="982">
        <f t="shared" si="9"/>
        <v>0</v>
      </c>
      <c r="AA20" s="973">
        <f t="shared" si="10"/>
        <v>0</v>
      </c>
      <c r="AB20" s="873">
        <f t="shared" si="3"/>
        <v>0</v>
      </c>
      <c r="AC20" s="873">
        <f t="shared" si="4"/>
        <v>0</v>
      </c>
      <c r="AD20" s="984"/>
      <c r="AE20" s="882">
        <f t="shared" si="11"/>
        <v>0</v>
      </c>
      <c r="AF20" s="975"/>
      <c r="AG20" s="966"/>
      <c r="AH20" s="924"/>
      <c r="AI20" s="883">
        <f t="shared" si="5"/>
        <v>0</v>
      </c>
      <c r="AJ20" s="967"/>
      <c r="AK20" s="873">
        <f t="shared" si="12"/>
        <v>0</v>
      </c>
      <c r="AL20" s="983"/>
      <c r="AM20" s="983"/>
      <c r="AN20" s="981"/>
      <c r="AO20" s="967"/>
      <c r="AP20" s="983"/>
      <c r="AQ20" s="873">
        <f t="shared" si="6"/>
        <v>0</v>
      </c>
      <c r="AR20" s="873">
        <f t="shared" si="13"/>
        <v>0</v>
      </c>
      <c r="AS20" s="983"/>
      <c r="AT20" s="873">
        <f t="shared" si="14"/>
        <v>0</v>
      </c>
      <c r="AU20" s="873">
        <f t="shared" si="15"/>
        <v>0</v>
      </c>
      <c r="AV20" s="965"/>
      <c r="AW20" s="965"/>
      <c r="AX20" s="966"/>
    </row>
    <row r="21" spans="1:50" ht="15.75" x14ac:dyDescent="0.3">
      <c r="A21" s="496">
        <v>9</v>
      </c>
      <c r="B21" s="461"/>
      <c r="C21" s="965"/>
      <c r="D21" s="965"/>
      <c r="E21" s="965"/>
      <c r="F21" s="966"/>
      <c r="G21" s="979"/>
      <c r="H21" s="967"/>
      <c r="I21" s="965"/>
      <c r="J21" s="968"/>
      <c r="K21" s="968"/>
      <c r="L21" s="966"/>
      <c r="M21" s="967"/>
      <c r="N21" s="965"/>
      <c r="O21" s="986"/>
      <c r="P21" s="980"/>
      <c r="Q21" s="1016"/>
      <c r="R21" s="967"/>
      <c r="S21" s="965">
        <f t="shared" si="1"/>
        <v>0</v>
      </c>
      <c r="T21" s="965"/>
      <c r="U21" s="965"/>
      <c r="V21" s="981"/>
      <c r="W21" s="971">
        <f t="shared" si="2"/>
        <v>0</v>
      </c>
      <c r="X21" s="882">
        <f t="shared" si="7"/>
        <v>0</v>
      </c>
      <c r="Y21" s="972">
        <f t="shared" si="8"/>
        <v>0</v>
      </c>
      <c r="Z21" s="982">
        <f t="shared" si="9"/>
        <v>0</v>
      </c>
      <c r="AA21" s="973">
        <f t="shared" si="10"/>
        <v>0</v>
      </c>
      <c r="AB21" s="873">
        <f t="shared" si="3"/>
        <v>0</v>
      </c>
      <c r="AC21" s="873">
        <f t="shared" si="4"/>
        <v>0</v>
      </c>
      <c r="AD21" s="974"/>
      <c r="AE21" s="882">
        <f t="shared" si="11"/>
        <v>0</v>
      </c>
      <c r="AF21" s="975"/>
      <c r="AG21" s="966"/>
      <c r="AH21" s="924"/>
      <c r="AI21" s="883">
        <f t="shared" si="5"/>
        <v>0</v>
      </c>
      <c r="AJ21" s="967"/>
      <c r="AK21" s="873">
        <f t="shared" si="12"/>
        <v>0</v>
      </c>
      <c r="AL21" s="983"/>
      <c r="AM21" s="983"/>
      <c r="AN21" s="981"/>
      <c r="AO21" s="967"/>
      <c r="AP21" s="983"/>
      <c r="AQ21" s="873">
        <f t="shared" si="6"/>
        <v>0</v>
      </c>
      <c r="AR21" s="873">
        <f t="shared" si="13"/>
        <v>0</v>
      </c>
      <c r="AS21" s="983"/>
      <c r="AT21" s="873">
        <f t="shared" si="14"/>
        <v>0</v>
      </c>
      <c r="AU21" s="873">
        <f t="shared" si="15"/>
        <v>0</v>
      </c>
      <c r="AV21" s="965"/>
      <c r="AW21" s="965"/>
      <c r="AX21" s="966"/>
    </row>
    <row r="22" spans="1:50" ht="15.75" x14ac:dyDescent="0.3">
      <c r="A22" s="496">
        <v>10</v>
      </c>
      <c r="B22" s="461"/>
      <c r="C22" s="965"/>
      <c r="D22" s="965"/>
      <c r="E22" s="965"/>
      <c r="F22" s="966"/>
      <c r="G22" s="979"/>
      <c r="H22" s="967"/>
      <c r="I22" s="965"/>
      <c r="J22" s="968"/>
      <c r="K22" s="968"/>
      <c r="L22" s="966"/>
      <c r="M22" s="967"/>
      <c r="N22" s="965"/>
      <c r="O22" s="986"/>
      <c r="P22" s="980"/>
      <c r="Q22" s="1016"/>
      <c r="R22" s="967"/>
      <c r="S22" s="965">
        <f t="shared" si="1"/>
        <v>0</v>
      </c>
      <c r="T22" s="965"/>
      <c r="U22" s="965"/>
      <c r="V22" s="981"/>
      <c r="W22" s="971">
        <f t="shared" si="2"/>
        <v>0</v>
      </c>
      <c r="X22" s="882">
        <f t="shared" si="7"/>
        <v>0</v>
      </c>
      <c r="Y22" s="972">
        <f t="shared" si="8"/>
        <v>0</v>
      </c>
      <c r="Z22" s="982">
        <f t="shared" si="9"/>
        <v>0</v>
      </c>
      <c r="AA22" s="973">
        <f t="shared" si="10"/>
        <v>0</v>
      </c>
      <c r="AB22" s="873">
        <f t="shared" si="3"/>
        <v>0</v>
      </c>
      <c r="AC22" s="873">
        <f t="shared" si="4"/>
        <v>0</v>
      </c>
      <c r="AD22" s="974"/>
      <c r="AE22" s="882">
        <f t="shared" si="11"/>
        <v>0</v>
      </c>
      <c r="AF22" s="975"/>
      <c r="AG22" s="966"/>
      <c r="AH22" s="924"/>
      <c r="AI22" s="883">
        <f t="shared" si="5"/>
        <v>0</v>
      </c>
      <c r="AJ22" s="967"/>
      <c r="AK22" s="873">
        <f t="shared" si="12"/>
        <v>0</v>
      </c>
      <c r="AL22" s="983"/>
      <c r="AM22" s="983"/>
      <c r="AN22" s="981"/>
      <c r="AO22" s="967"/>
      <c r="AP22" s="983"/>
      <c r="AQ22" s="873">
        <f t="shared" si="6"/>
        <v>0</v>
      </c>
      <c r="AR22" s="873">
        <f t="shared" si="13"/>
        <v>0</v>
      </c>
      <c r="AS22" s="983"/>
      <c r="AT22" s="873">
        <f t="shared" si="14"/>
        <v>0</v>
      </c>
      <c r="AU22" s="873">
        <f t="shared" si="15"/>
        <v>0</v>
      </c>
      <c r="AV22" s="965"/>
      <c r="AW22" s="965"/>
      <c r="AX22" s="966"/>
    </row>
    <row r="23" spans="1:50" ht="15.75" x14ac:dyDescent="0.3">
      <c r="A23" s="496">
        <v>11</v>
      </c>
      <c r="B23" s="461"/>
      <c r="C23" s="965"/>
      <c r="D23" s="965"/>
      <c r="E23" s="965"/>
      <c r="F23" s="966"/>
      <c r="G23" s="979"/>
      <c r="H23" s="967"/>
      <c r="I23" s="965"/>
      <c r="J23" s="968"/>
      <c r="K23" s="968"/>
      <c r="L23" s="966"/>
      <c r="M23" s="967"/>
      <c r="N23" s="965"/>
      <c r="O23" s="986"/>
      <c r="P23" s="980"/>
      <c r="Q23" s="1016"/>
      <c r="R23" s="967"/>
      <c r="S23" s="965">
        <f t="shared" si="1"/>
        <v>0</v>
      </c>
      <c r="T23" s="965"/>
      <c r="U23" s="965"/>
      <c r="V23" s="981"/>
      <c r="W23" s="971">
        <f t="shared" si="2"/>
        <v>0</v>
      </c>
      <c r="X23" s="882">
        <f t="shared" si="7"/>
        <v>0</v>
      </c>
      <c r="Y23" s="972">
        <f t="shared" si="8"/>
        <v>0</v>
      </c>
      <c r="Z23" s="982">
        <f t="shared" si="9"/>
        <v>0</v>
      </c>
      <c r="AA23" s="973">
        <f t="shared" si="10"/>
        <v>0</v>
      </c>
      <c r="AB23" s="873">
        <f t="shared" si="3"/>
        <v>0</v>
      </c>
      <c r="AC23" s="873">
        <f t="shared" si="4"/>
        <v>0</v>
      </c>
      <c r="AD23" s="974"/>
      <c r="AE23" s="882">
        <f t="shared" si="11"/>
        <v>0</v>
      </c>
      <c r="AF23" s="975"/>
      <c r="AG23" s="966"/>
      <c r="AH23" s="924"/>
      <c r="AI23" s="883">
        <f t="shared" si="5"/>
        <v>0</v>
      </c>
      <c r="AJ23" s="967"/>
      <c r="AK23" s="873">
        <f t="shared" si="12"/>
        <v>0</v>
      </c>
      <c r="AL23" s="983"/>
      <c r="AM23" s="983"/>
      <c r="AN23" s="981"/>
      <c r="AO23" s="967"/>
      <c r="AP23" s="983"/>
      <c r="AQ23" s="873">
        <f t="shared" si="6"/>
        <v>0</v>
      </c>
      <c r="AR23" s="873">
        <f t="shared" si="13"/>
        <v>0</v>
      </c>
      <c r="AS23" s="983"/>
      <c r="AT23" s="873">
        <f t="shared" si="14"/>
        <v>0</v>
      </c>
      <c r="AU23" s="873">
        <f t="shared" si="15"/>
        <v>0</v>
      </c>
      <c r="AV23" s="965"/>
      <c r="AW23" s="965"/>
      <c r="AX23" s="966"/>
    </row>
    <row r="24" spans="1:50" ht="15.75" x14ac:dyDescent="0.3">
      <c r="A24" s="496">
        <v>12</v>
      </c>
      <c r="B24" s="461"/>
      <c r="C24" s="965"/>
      <c r="D24" s="965"/>
      <c r="E24" s="965"/>
      <c r="F24" s="966"/>
      <c r="G24" s="985"/>
      <c r="H24" s="967"/>
      <c r="I24" s="965"/>
      <c r="J24" s="983"/>
      <c r="K24" s="983"/>
      <c r="L24" s="981"/>
      <c r="M24" s="924"/>
      <c r="N24" s="965"/>
      <c r="O24" s="986"/>
      <c r="P24" s="980"/>
      <c r="Q24" s="1016"/>
      <c r="R24" s="967"/>
      <c r="S24" s="965">
        <f t="shared" si="1"/>
        <v>0</v>
      </c>
      <c r="T24" s="965"/>
      <c r="U24" s="965"/>
      <c r="V24" s="981"/>
      <c r="W24" s="971">
        <f t="shared" si="2"/>
        <v>0</v>
      </c>
      <c r="X24" s="882">
        <f t="shared" si="7"/>
        <v>0</v>
      </c>
      <c r="Y24" s="972">
        <f t="shared" si="8"/>
        <v>0</v>
      </c>
      <c r="Z24" s="982">
        <f t="shared" si="9"/>
        <v>0</v>
      </c>
      <c r="AA24" s="973">
        <f t="shared" si="10"/>
        <v>0</v>
      </c>
      <c r="AB24" s="873">
        <f t="shared" si="3"/>
        <v>0</v>
      </c>
      <c r="AC24" s="873">
        <f t="shared" si="4"/>
        <v>0</v>
      </c>
      <c r="AD24" s="974"/>
      <c r="AE24" s="882">
        <f t="shared" si="11"/>
        <v>0</v>
      </c>
      <c r="AF24" s="986"/>
      <c r="AG24" s="981"/>
      <c r="AH24" s="924"/>
      <c r="AI24" s="883">
        <f t="shared" si="5"/>
        <v>0</v>
      </c>
      <c r="AJ24" s="924"/>
      <c r="AK24" s="873">
        <f t="shared" si="12"/>
        <v>0</v>
      </c>
      <c r="AL24" s="983"/>
      <c r="AM24" s="983"/>
      <c r="AN24" s="981"/>
      <c r="AO24" s="924"/>
      <c r="AP24" s="983"/>
      <c r="AQ24" s="873">
        <f t="shared" si="6"/>
        <v>0</v>
      </c>
      <c r="AR24" s="873">
        <f t="shared" si="13"/>
        <v>0</v>
      </c>
      <c r="AS24" s="983"/>
      <c r="AT24" s="873">
        <f t="shared" si="14"/>
        <v>0</v>
      </c>
      <c r="AU24" s="873">
        <f t="shared" si="15"/>
        <v>0</v>
      </c>
      <c r="AV24" s="983"/>
      <c r="AW24" s="983"/>
      <c r="AX24" s="981"/>
    </row>
    <row r="25" spans="1:50" s="111" customFormat="1" ht="16.5" thickBot="1" x14ac:dyDescent="0.35">
      <c r="A25" s="497" t="s">
        <v>573</v>
      </c>
      <c r="B25" s="987"/>
      <c r="C25" s="988"/>
      <c r="D25" s="988"/>
      <c r="E25" s="988"/>
      <c r="F25" s="989"/>
      <c r="G25" s="990"/>
      <c r="H25" s="991"/>
      <c r="I25" s="965"/>
      <c r="J25" s="992"/>
      <c r="K25" s="993"/>
      <c r="L25" s="994"/>
      <c r="M25" s="995"/>
      <c r="N25" s="996"/>
      <c r="O25" s="996"/>
      <c r="P25" s="994"/>
      <c r="Q25" s="997"/>
      <c r="R25" s="967"/>
      <c r="S25" s="965">
        <f t="shared" si="1"/>
        <v>0</v>
      </c>
      <c r="T25" s="965"/>
      <c r="U25" s="965"/>
      <c r="V25" s="998"/>
      <c r="W25" s="999">
        <f t="shared" si="2"/>
        <v>0</v>
      </c>
      <c r="X25" s="1003">
        <f t="shared" si="7"/>
        <v>0</v>
      </c>
      <c r="Y25" s="1000">
        <f>E25-K25-O25-T25</f>
        <v>0</v>
      </c>
      <c r="Z25" s="1001">
        <f t="shared" si="9"/>
        <v>0</v>
      </c>
      <c r="AA25" s="973">
        <f>W25+X25+Y25+Z25</f>
        <v>0</v>
      </c>
      <c r="AB25" s="1002">
        <f t="shared" si="3"/>
        <v>0</v>
      </c>
      <c r="AC25" s="1003">
        <f>IF(AA25&gt;0,0.7*T$4*W$4/W$6*720*8/8760,0)</f>
        <v>0</v>
      </c>
      <c r="AD25" s="1004"/>
      <c r="AE25" s="1005">
        <f t="shared" si="11"/>
        <v>0</v>
      </c>
      <c r="AF25" s="1006"/>
      <c r="AG25" s="1007"/>
      <c r="AH25" s="1008"/>
      <c r="AI25" s="1009">
        <f t="shared" ref="AI25:AI53" si="16">R25+S25+T25+U25-V25+AH25</f>
        <v>0</v>
      </c>
      <c r="AJ25" s="1010"/>
      <c r="AK25" s="873">
        <f t="shared" si="12"/>
        <v>0</v>
      </c>
      <c r="AL25" s="1011"/>
      <c r="AM25" s="1011"/>
      <c r="AN25" s="1012"/>
      <c r="AO25" s="924"/>
      <c r="AP25" s="988"/>
      <c r="AQ25" s="1003">
        <f t="shared" si="6"/>
        <v>0</v>
      </c>
      <c r="AR25" s="1003">
        <f t="shared" si="13"/>
        <v>0</v>
      </c>
      <c r="AS25" s="988"/>
      <c r="AT25" s="1003">
        <f t="shared" si="14"/>
        <v>0</v>
      </c>
      <c r="AU25" s="1003">
        <f t="shared" si="15"/>
        <v>0</v>
      </c>
      <c r="AV25" s="902"/>
      <c r="AW25" s="988"/>
      <c r="AX25" s="989"/>
    </row>
    <row r="26" spans="1:50" s="130" customFormat="1" ht="16.5" thickBot="1" x14ac:dyDescent="0.35">
      <c r="A26" s="517" t="s">
        <v>574</v>
      </c>
      <c r="B26" s="576">
        <f t="shared" ref="B26:AC26" si="17">IF(B25&gt;0,B25,SUM(B13:B24))</f>
        <v>0</v>
      </c>
      <c r="C26" s="576">
        <f t="shared" si="17"/>
        <v>0</v>
      </c>
      <c r="D26" s="576">
        <f t="shared" si="17"/>
        <v>0</v>
      </c>
      <c r="E26" s="576">
        <f t="shared" si="17"/>
        <v>0</v>
      </c>
      <c r="F26" s="577">
        <f t="shared" si="17"/>
        <v>0</v>
      </c>
      <c r="G26" s="577">
        <f t="shared" si="17"/>
        <v>0</v>
      </c>
      <c r="H26" s="578">
        <f t="shared" si="17"/>
        <v>0</v>
      </c>
      <c r="I26" s="576">
        <f t="shared" si="17"/>
        <v>0</v>
      </c>
      <c r="J26" s="576">
        <f t="shared" si="17"/>
        <v>0</v>
      </c>
      <c r="K26" s="576">
        <f t="shared" si="17"/>
        <v>0</v>
      </c>
      <c r="L26" s="577">
        <f t="shared" si="17"/>
        <v>0</v>
      </c>
      <c r="M26" s="578">
        <f t="shared" si="17"/>
        <v>0</v>
      </c>
      <c r="N26" s="578">
        <f t="shared" si="17"/>
        <v>0</v>
      </c>
      <c r="O26" s="578">
        <f t="shared" si="17"/>
        <v>0</v>
      </c>
      <c r="P26" s="577">
        <f t="shared" si="17"/>
        <v>0</v>
      </c>
      <c r="Q26" s="579">
        <f>IF(Q25&gt;0,Q25,SUM(Q13:Q24))</f>
        <v>0</v>
      </c>
      <c r="R26" s="578">
        <f t="shared" si="17"/>
        <v>0</v>
      </c>
      <c r="S26" s="578">
        <f t="shared" si="17"/>
        <v>0</v>
      </c>
      <c r="T26" s="578">
        <f t="shared" si="17"/>
        <v>0</v>
      </c>
      <c r="U26" s="578">
        <f t="shared" si="17"/>
        <v>0</v>
      </c>
      <c r="V26" s="577">
        <f t="shared" si="17"/>
        <v>0</v>
      </c>
      <c r="W26" s="578">
        <f t="shared" si="17"/>
        <v>0</v>
      </c>
      <c r="X26" s="578">
        <f t="shared" si="17"/>
        <v>0</v>
      </c>
      <c r="Y26" s="578">
        <f t="shared" si="17"/>
        <v>0</v>
      </c>
      <c r="Z26" s="577">
        <f t="shared" si="17"/>
        <v>0</v>
      </c>
      <c r="AA26" s="578">
        <f t="shared" si="17"/>
        <v>0</v>
      </c>
      <c r="AB26" s="576">
        <f t="shared" si="17"/>
        <v>0</v>
      </c>
      <c r="AC26" s="576">
        <f t="shared" si="17"/>
        <v>0</v>
      </c>
      <c r="AD26" s="580" t="str">
        <f>IF(AD25&gt;0,AD25,"-")</f>
        <v>-</v>
      </c>
      <c r="AE26" s="581">
        <f t="shared" ref="AE26:AK26" si="18">IF(AE25&gt;0,AE25,SUM(AE13:AE24))</f>
        <v>0</v>
      </c>
      <c r="AF26" s="576">
        <f t="shared" si="18"/>
        <v>0</v>
      </c>
      <c r="AG26" s="577">
        <f t="shared" si="18"/>
        <v>0</v>
      </c>
      <c r="AH26" s="578">
        <f t="shared" si="18"/>
        <v>0</v>
      </c>
      <c r="AI26" s="579">
        <f t="shared" si="18"/>
        <v>0</v>
      </c>
      <c r="AJ26" s="500">
        <f t="shared" si="18"/>
        <v>0</v>
      </c>
      <c r="AK26" s="500">
        <f t="shared" si="18"/>
        <v>0</v>
      </c>
      <c r="AL26" s="582">
        <f t="shared" ref="AL26:AR26" si="19">IF(AL25&gt;0,AL25,SUM(AL13:AL24))</f>
        <v>0</v>
      </c>
      <c r="AM26" s="582">
        <f t="shared" si="19"/>
        <v>0</v>
      </c>
      <c r="AN26" s="583">
        <f t="shared" si="19"/>
        <v>0</v>
      </c>
      <c r="AO26" s="500">
        <f t="shared" si="19"/>
        <v>0</v>
      </c>
      <c r="AP26" s="582">
        <f t="shared" si="19"/>
        <v>0</v>
      </c>
      <c r="AQ26" s="582">
        <f t="shared" si="19"/>
        <v>0</v>
      </c>
      <c r="AR26" s="582">
        <f t="shared" si="19"/>
        <v>0</v>
      </c>
      <c r="AS26" s="584" t="str">
        <f>IF(AS25&gt;0,AS25,"-")</f>
        <v>-</v>
      </c>
      <c r="AT26" s="582">
        <f>IF(AT25&gt;0,AT25,SUM(AT13:AT24))</f>
        <v>0</v>
      </c>
      <c r="AU26" s="582">
        <f>IF(AU25&gt;0,AU25,SUM(AU13:AU24))</f>
        <v>0</v>
      </c>
      <c r="AV26" s="582">
        <f>IF(AV25&gt;0,AV25,SUM(AV13:AV24))</f>
        <v>0</v>
      </c>
      <c r="AW26" s="582">
        <f>IF(AW25&gt;0,AW25,SUM(AW13:AW24))</f>
        <v>0</v>
      </c>
      <c r="AX26" s="583">
        <f>IF(AX25&gt;0,AX25,SUM(AX13:AX24))</f>
        <v>0</v>
      </c>
    </row>
    <row r="27" spans="1:50" ht="15.75" x14ac:dyDescent="0.3">
      <c r="A27" s="585">
        <v>13</v>
      </c>
      <c r="B27" s="1039"/>
      <c r="C27" s="1040"/>
      <c r="D27" s="1040"/>
      <c r="E27" s="1040"/>
      <c r="F27" s="1041"/>
      <c r="G27" s="846"/>
      <c r="H27" s="1042"/>
      <c r="I27" s="1039"/>
      <c r="J27" s="1039"/>
      <c r="K27" s="1039"/>
      <c r="L27" s="1043"/>
      <c r="M27" s="1044"/>
      <c r="N27" s="1040"/>
      <c r="O27" s="1040"/>
      <c r="P27" s="1041"/>
      <c r="Q27" s="846"/>
      <c r="R27" s="1042"/>
      <c r="S27" s="1040"/>
      <c r="T27" s="1040"/>
      <c r="U27" s="1040"/>
      <c r="V27" s="1041"/>
      <c r="W27" s="1045">
        <f t="shared" ref="W27:W39" si="20">B27-H27-M27-R27</f>
        <v>0</v>
      </c>
      <c r="X27" s="1039"/>
      <c r="Y27" s="1046">
        <f t="shared" ref="Y27:Y39" si="21">E27-K27-O27-T27</f>
        <v>0</v>
      </c>
      <c r="Z27" s="1047">
        <f t="shared" ref="Z27:Z39" si="22">F27-L27-P27-U27</f>
        <v>0</v>
      </c>
      <c r="AA27" s="1048">
        <f t="shared" ref="AA27:AA39" si="23">W27+X27+Y27+Z27</f>
        <v>0</v>
      </c>
      <c r="AB27" s="1046">
        <f t="shared" ref="AB27:AB39" si="24">IF(AA27&gt;0,-0.05*AA27*T$5,0)</f>
        <v>0</v>
      </c>
      <c r="AC27" s="1046">
        <f t="shared" ref="AC27:AC38" si="25">IF(AA27&gt;0,0.7*T$6*W$4/W$6*720/8760,0)</f>
        <v>0</v>
      </c>
      <c r="AD27" s="1049"/>
      <c r="AE27" s="1050">
        <f>IF(AD27=0,0,(AA27+AB27+AC27)/AD27)</f>
        <v>0</v>
      </c>
      <c r="AF27" s="1051"/>
      <c r="AG27" s="1043"/>
      <c r="AH27" s="1042"/>
      <c r="AI27" s="913">
        <f t="shared" si="16"/>
        <v>0</v>
      </c>
      <c r="AJ27" s="1042"/>
      <c r="AK27" s="438">
        <f t="shared" ref="AK27:AK39" si="26">C27-I27-N27-S27-X27+AJ27</f>
        <v>0</v>
      </c>
      <c r="AL27" s="1040"/>
      <c r="AM27" s="1040"/>
      <c r="AN27" s="1041"/>
      <c r="AO27" s="1042"/>
      <c r="AP27" s="1040"/>
      <c r="AQ27" s="1052">
        <f t="shared" ref="AQ27:AQ39" si="27">D27-J27</f>
        <v>0</v>
      </c>
      <c r="AR27" s="1052">
        <f>AO27-AP27</f>
        <v>0</v>
      </c>
      <c r="AS27" s="1053"/>
      <c r="AT27" s="1052">
        <f>IF(AS27&gt;0,AQ27/AS27,0)</f>
        <v>0</v>
      </c>
      <c r="AU27" s="1052">
        <f>IF(AS27&gt;0,AR27/AS27,0)</f>
        <v>0</v>
      </c>
      <c r="AV27" s="460"/>
      <c r="AW27" s="1040"/>
      <c r="AX27" s="1041"/>
    </row>
    <row r="28" spans="1:50" ht="15.75" x14ac:dyDescent="0.3">
      <c r="A28" s="496">
        <v>14</v>
      </c>
      <c r="B28" s="462"/>
      <c r="C28" s="462"/>
      <c r="D28" s="462"/>
      <c r="E28" s="462"/>
      <c r="F28" s="1054"/>
      <c r="G28" s="843"/>
      <c r="H28" s="839"/>
      <c r="I28" s="1040"/>
      <c r="J28" s="1040"/>
      <c r="K28" s="1040"/>
      <c r="L28" s="1041"/>
      <c r="M28" s="1042"/>
      <c r="N28" s="1040"/>
      <c r="O28" s="1040"/>
      <c r="P28" s="1041"/>
      <c r="Q28" s="846"/>
      <c r="R28" s="839"/>
      <c r="S28" s="1040"/>
      <c r="T28" s="1040"/>
      <c r="U28" s="1040"/>
      <c r="V28" s="1054"/>
      <c r="W28" s="1055">
        <f t="shared" si="20"/>
        <v>0</v>
      </c>
      <c r="X28" s="1040"/>
      <c r="Y28" s="440">
        <f t="shared" si="21"/>
        <v>0</v>
      </c>
      <c r="Z28" s="915">
        <f t="shared" si="22"/>
        <v>0</v>
      </c>
      <c r="AA28" s="1048">
        <f t="shared" si="23"/>
        <v>0</v>
      </c>
      <c r="AB28" s="440">
        <f t="shared" si="24"/>
        <v>0</v>
      </c>
      <c r="AC28" s="440">
        <f t="shared" si="25"/>
        <v>0</v>
      </c>
      <c r="AD28" s="1056"/>
      <c r="AE28" s="154">
        <f t="shared" ref="AE28:AE39" si="28">IF(AD28=0,0,(AA28+AB28+AC28)/AD28)</f>
        <v>0</v>
      </c>
      <c r="AF28" s="1057"/>
      <c r="AG28" s="1041"/>
      <c r="AH28" s="1042"/>
      <c r="AI28" s="913">
        <f t="shared" si="16"/>
        <v>0</v>
      </c>
      <c r="AJ28" s="1042"/>
      <c r="AK28" s="438">
        <f t="shared" si="26"/>
        <v>0</v>
      </c>
      <c r="AL28" s="462"/>
      <c r="AM28" s="462"/>
      <c r="AN28" s="1054"/>
      <c r="AO28" s="1042"/>
      <c r="AP28" s="462"/>
      <c r="AQ28" s="1052">
        <f t="shared" si="27"/>
        <v>0</v>
      </c>
      <c r="AR28" s="1052">
        <f t="shared" ref="AR28:AR39" si="29">AO28-AP28</f>
        <v>0</v>
      </c>
      <c r="AS28" s="1058"/>
      <c r="AT28" s="1052">
        <f t="shared" ref="AT28:AT39" si="30">IF(AS28&gt;0,AQ28/AS28,0)</f>
        <v>0</v>
      </c>
      <c r="AU28" s="1052">
        <f t="shared" ref="AU28:AU39" si="31">IF(AS28&gt;0,AR28/AS28,0)</f>
        <v>0</v>
      </c>
      <c r="AV28" s="460"/>
      <c r="AW28" s="1040"/>
      <c r="AX28" s="1041"/>
    </row>
    <row r="29" spans="1:50" ht="15.75" x14ac:dyDescent="0.3">
      <c r="A29" s="496">
        <v>15</v>
      </c>
      <c r="B29" s="462"/>
      <c r="C29" s="462"/>
      <c r="D29" s="462"/>
      <c r="E29" s="462"/>
      <c r="F29" s="1054"/>
      <c r="G29" s="843"/>
      <c r="H29" s="839"/>
      <c r="I29" s="1040"/>
      <c r="J29" s="1040"/>
      <c r="K29" s="1040"/>
      <c r="L29" s="1041"/>
      <c r="M29" s="1042"/>
      <c r="N29" s="1040"/>
      <c r="O29" s="1040"/>
      <c r="P29" s="1041"/>
      <c r="Q29" s="846"/>
      <c r="R29" s="839"/>
      <c r="S29" s="1040"/>
      <c r="T29" s="1040"/>
      <c r="U29" s="1040"/>
      <c r="V29" s="1054"/>
      <c r="W29" s="1055">
        <f t="shared" si="20"/>
        <v>0</v>
      </c>
      <c r="X29" s="1040"/>
      <c r="Y29" s="440">
        <f t="shared" si="21"/>
        <v>0</v>
      </c>
      <c r="Z29" s="915">
        <f t="shared" si="22"/>
        <v>0</v>
      </c>
      <c r="AA29" s="1048">
        <f t="shared" si="23"/>
        <v>0</v>
      </c>
      <c r="AB29" s="440">
        <f t="shared" si="24"/>
        <v>0</v>
      </c>
      <c r="AC29" s="440">
        <f t="shared" si="25"/>
        <v>0</v>
      </c>
      <c r="AD29" s="1056"/>
      <c r="AE29" s="154">
        <f t="shared" si="28"/>
        <v>0</v>
      </c>
      <c r="AF29" s="1057"/>
      <c r="AG29" s="1041"/>
      <c r="AH29" s="1042"/>
      <c r="AI29" s="913">
        <f t="shared" si="16"/>
        <v>0</v>
      </c>
      <c r="AJ29" s="1042"/>
      <c r="AK29" s="438">
        <f t="shared" si="26"/>
        <v>0</v>
      </c>
      <c r="AL29" s="462"/>
      <c r="AM29" s="462"/>
      <c r="AN29" s="1054"/>
      <c r="AO29" s="1042"/>
      <c r="AP29" s="462"/>
      <c r="AQ29" s="1052">
        <f t="shared" si="27"/>
        <v>0</v>
      </c>
      <c r="AR29" s="1052">
        <f t="shared" si="29"/>
        <v>0</v>
      </c>
      <c r="AS29" s="1058"/>
      <c r="AT29" s="1052">
        <f t="shared" si="30"/>
        <v>0</v>
      </c>
      <c r="AU29" s="1052">
        <f t="shared" si="31"/>
        <v>0</v>
      </c>
      <c r="AV29" s="460"/>
      <c r="AW29" s="1040"/>
      <c r="AX29" s="1041"/>
    </row>
    <row r="30" spans="1:50" ht="15.75" x14ac:dyDescent="0.3">
      <c r="A30" s="496">
        <v>16</v>
      </c>
      <c r="B30" s="462"/>
      <c r="C30" s="462"/>
      <c r="D30" s="462"/>
      <c r="E30" s="462"/>
      <c r="F30" s="1054"/>
      <c r="G30" s="843"/>
      <c r="H30" s="839"/>
      <c r="I30" s="1040"/>
      <c r="J30" s="1040"/>
      <c r="K30" s="1040"/>
      <c r="L30" s="1041"/>
      <c r="M30" s="1042"/>
      <c r="N30" s="1040"/>
      <c r="O30" s="1040"/>
      <c r="P30" s="1041"/>
      <c r="Q30" s="846"/>
      <c r="R30" s="839"/>
      <c r="S30" s="1040"/>
      <c r="T30" s="1040"/>
      <c r="U30" s="1040"/>
      <c r="V30" s="1054"/>
      <c r="W30" s="1055">
        <f t="shared" si="20"/>
        <v>0</v>
      </c>
      <c r="X30" s="1040"/>
      <c r="Y30" s="440">
        <f t="shared" si="21"/>
        <v>0</v>
      </c>
      <c r="Z30" s="915">
        <f t="shared" si="22"/>
        <v>0</v>
      </c>
      <c r="AA30" s="1048">
        <f t="shared" si="23"/>
        <v>0</v>
      </c>
      <c r="AB30" s="440">
        <f t="shared" si="24"/>
        <v>0</v>
      </c>
      <c r="AC30" s="440">
        <f t="shared" si="25"/>
        <v>0</v>
      </c>
      <c r="AD30" s="1056"/>
      <c r="AE30" s="154">
        <f t="shared" si="28"/>
        <v>0</v>
      </c>
      <c r="AF30" s="1057"/>
      <c r="AG30" s="1041"/>
      <c r="AH30" s="1042"/>
      <c r="AI30" s="913">
        <f t="shared" si="16"/>
        <v>0</v>
      </c>
      <c r="AJ30" s="1042"/>
      <c r="AK30" s="438">
        <f t="shared" si="26"/>
        <v>0</v>
      </c>
      <c r="AL30" s="462"/>
      <c r="AM30" s="462"/>
      <c r="AN30" s="1054"/>
      <c r="AO30" s="1042"/>
      <c r="AP30" s="462"/>
      <c r="AQ30" s="1052">
        <f t="shared" si="27"/>
        <v>0</v>
      </c>
      <c r="AR30" s="1052">
        <f t="shared" si="29"/>
        <v>0</v>
      </c>
      <c r="AS30" s="1058"/>
      <c r="AT30" s="1052">
        <f t="shared" si="30"/>
        <v>0</v>
      </c>
      <c r="AU30" s="1052">
        <f t="shared" si="31"/>
        <v>0</v>
      </c>
      <c r="AV30" s="460"/>
      <c r="AW30" s="1040"/>
      <c r="AX30" s="1041"/>
    </row>
    <row r="31" spans="1:50" ht="15.75" x14ac:dyDescent="0.3">
      <c r="A31" s="496">
        <v>17</v>
      </c>
      <c r="B31" s="462"/>
      <c r="C31" s="462"/>
      <c r="D31" s="462"/>
      <c r="E31" s="462"/>
      <c r="F31" s="1054"/>
      <c r="G31" s="843"/>
      <c r="H31" s="839"/>
      <c r="I31" s="1040"/>
      <c r="J31" s="1040"/>
      <c r="K31" s="1040"/>
      <c r="L31" s="1041"/>
      <c r="M31" s="1042"/>
      <c r="N31" s="1040"/>
      <c r="O31" s="1040"/>
      <c r="P31" s="1041"/>
      <c r="Q31" s="846"/>
      <c r="R31" s="839"/>
      <c r="S31" s="1040"/>
      <c r="T31" s="1040"/>
      <c r="U31" s="1040"/>
      <c r="V31" s="1054"/>
      <c r="W31" s="1055">
        <f t="shared" si="20"/>
        <v>0</v>
      </c>
      <c r="X31" s="1040"/>
      <c r="Y31" s="440">
        <f t="shared" si="21"/>
        <v>0</v>
      </c>
      <c r="Z31" s="915">
        <f t="shared" si="22"/>
        <v>0</v>
      </c>
      <c r="AA31" s="1048">
        <f t="shared" si="23"/>
        <v>0</v>
      </c>
      <c r="AB31" s="440">
        <f t="shared" si="24"/>
        <v>0</v>
      </c>
      <c r="AC31" s="440">
        <f t="shared" si="25"/>
        <v>0</v>
      </c>
      <c r="AD31" s="1056"/>
      <c r="AE31" s="154">
        <f t="shared" si="28"/>
        <v>0</v>
      </c>
      <c r="AF31" s="1057"/>
      <c r="AG31" s="1041"/>
      <c r="AH31" s="1042"/>
      <c r="AI31" s="913">
        <f t="shared" si="16"/>
        <v>0</v>
      </c>
      <c r="AJ31" s="1042"/>
      <c r="AK31" s="438">
        <f t="shared" si="26"/>
        <v>0</v>
      </c>
      <c r="AL31" s="462"/>
      <c r="AM31" s="462"/>
      <c r="AN31" s="1054"/>
      <c r="AO31" s="1042"/>
      <c r="AP31" s="462"/>
      <c r="AQ31" s="1052">
        <f t="shared" si="27"/>
        <v>0</v>
      </c>
      <c r="AR31" s="1052">
        <f t="shared" si="29"/>
        <v>0</v>
      </c>
      <c r="AS31" s="1058"/>
      <c r="AT31" s="1052">
        <f t="shared" si="30"/>
        <v>0</v>
      </c>
      <c r="AU31" s="1052">
        <f t="shared" si="31"/>
        <v>0</v>
      </c>
      <c r="AV31" s="460"/>
      <c r="AW31" s="1040"/>
      <c r="AX31" s="1041"/>
    </row>
    <row r="32" spans="1:50" ht="15.75" x14ac:dyDescent="0.3">
      <c r="A32" s="496">
        <v>18</v>
      </c>
      <c r="B32" s="462"/>
      <c r="C32" s="462"/>
      <c r="D32" s="462"/>
      <c r="E32" s="462"/>
      <c r="F32" s="1054"/>
      <c r="G32" s="843"/>
      <c r="H32" s="839"/>
      <c r="I32" s="1040"/>
      <c r="J32" s="1040"/>
      <c r="K32" s="1040"/>
      <c r="L32" s="1041"/>
      <c r="M32" s="1042"/>
      <c r="N32" s="1040"/>
      <c r="O32" s="1040"/>
      <c r="P32" s="1041"/>
      <c r="Q32" s="846"/>
      <c r="R32" s="839"/>
      <c r="S32" s="1040"/>
      <c r="T32" s="1040"/>
      <c r="U32" s="1040"/>
      <c r="V32" s="1054"/>
      <c r="W32" s="1055">
        <f t="shared" si="20"/>
        <v>0</v>
      </c>
      <c r="X32" s="1040"/>
      <c r="Y32" s="440">
        <f t="shared" si="21"/>
        <v>0</v>
      </c>
      <c r="Z32" s="915">
        <f t="shared" si="22"/>
        <v>0</v>
      </c>
      <c r="AA32" s="1048">
        <f t="shared" si="23"/>
        <v>0</v>
      </c>
      <c r="AB32" s="440">
        <f t="shared" si="24"/>
        <v>0</v>
      </c>
      <c r="AC32" s="440">
        <f t="shared" si="25"/>
        <v>0</v>
      </c>
      <c r="AD32" s="1056"/>
      <c r="AE32" s="154">
        <f t="shared" si="28"/>
        <v>0</v>
      </c>
      <c r="AF32" s="1057"/>
      <c r="AG32" s="1041"/>
      <c r="AH32" s="1042"/>
      <c r="AI32" s="913">
        <f t="shared" si="16"/>
        <v>0</v>
      </c>
      <c r="AJ32" s="1042"/>
      <c r="AK32" s="438">
        <f t="shared" si="26"/>
        <v>0</v>
      </c>
      <c r="AL32" s="462"/>
      <c r="AM32" s="462"/>
      <c r="AN32" s="1054"/>
      <c r="AO32" s="1042"/>
      <c r="AP32" s="462"/>
      <c r="AQ32" s="1052">
        <f t="shared" si="27"/>
        <v>0</v>
      </c>
      <c r="AR32" s="1052">
        <f t="shared" si="29"/>
        <v>0</v>
      </c>
      <c r="AS32" s="1058"/>
      <c r="AT32" s="1052">
        <f t="shared" si="30"/>
        <v>0</v>
      </c>
      <c r="AU32" s="1052">
        <f t="shared" si="31"/>
        <v>0</v>
      </c>
      <c r="AV32" s="460"/>
      <c r="AW32" s="1040"/>
      <c r="AX32" s="1041"/>
    </row>
    <row r="33" spans="1:51" ht="15.75" x14ac:dyDescent="0.3">
      <c r="A33" s="496">
        <v>19</v>
      </c>
      <c r="B33" s="462"/>
      <c r="C33" s="462"/>
      <c r="D33" s="462"/>
      <c r="E33" s="462"/>
      <c r="F33" s="1054"/>
      <c r="G33" s="843"/>
      <c r="H33" s="839"/>
      <c r="I33" s="1040"/>
      <c r="J33" s="1040"/>
      <c r="K33" s="1040"/>
      <c r="L33" s="1041"/>
      <c r="M33" s="1042"/>
      <c r="N33" s="1040"/>
      <c r="O33" s="1040"/>
      <c r="P33" s="1041"/>
      <c r="Q33" s="846"/>
      <c r="R33" s="839"/>
      <c r="S33" s="1040"/>
      <c r="T33" s="1040"/>
      <c r="U33" s="1040"/>
      <c r="V33" s="1054"/>
      <c r="W33" s="1055">
        <f t="shared" si="20"/>
        <v>0</v>
      </c>
      <c r="X33" s="1040"/>
      <c r="Y33" s="440">
        <f t="shared" si="21"/>
        <v>0</v>
      </c>
      <c r="Z33" s="915">
        <f t="shared" si="22"/>
        <v>0</v>
      </c>
      <c r="AA33" s="1048">
        <f t="shared" si="23"/>
        <v>0</v>
      </c>
      <c r="AB33" s="440">
        <f t="shared" si="24"/>
        <v>0</v>
      </c>
      <c r="AC33" s="440">
        <f t="shared" si="25"/>
        <v>0</v>
      </c>
      <c r="AD33" s="1056"/>
      <c r="AE33" s="154">
        <f t="shared" si="28"/>
        <v>0</v>
      </c>
      <c r="AF33" s="1057"/>
      <c r="AG33" s="1041"/>
      <c r="AH33" s="1042"/>
      <c r="AI33" s="913">
        <f t="shared" si="16"/>
        <v>0</v>
      </c>
      <c r="AJ33" s="1042"/>
      <c r="AK33" s="438">
        <f t="shared" si="26"/>
        <v>0</v>
      </c>
      <c r="AL33" s="462"/>
      <c r="AM33" s="462"/>
      <c r="AN33" s="1054"/>
      <c r="AO33" s="1042"/>
      <c r="AP33" s="462"/>
      <c r="AQ33" s="1052">
        <f t="shared" si="27"/>
        <v>0</v>
      </c>
      <c r="AR33" s="1052">
        <f t="shared" si="29"/>
        <v>0</v>
      </c>
      <c r="AS33" s="1058"/>
      <c r="AT33" s="1052">
        <f t="shared" si="30"/>
        <v>0</v>
      </c>
      <c r="AU33" s="1052">
        <f t="shared" si="31"/>
        <v>0</v>
      </c>
      <c r="AV33" s="460"/>
      <c r="AW33" s="1040"/>
      <c r="AX33" s="1041"/>
    </row>
    <row r="34" spans="1:51" ht="15.75" x14ac:dyDescent="0.3">
      <c r="A34" s="496">
        <v>20</v>
      </c>
      <c r="B34" s="462"/>
      <c r="C34" s="462"/>
      <c r="D34" s="462"/>
      <c r="E34" s="462"/>
      <c r="F34" s="1054"/>
      <c r="G34" s="843"/>
      <c r="H34" s="839"/>
      <c r="I34" s="1040"/>
      <c r="J34" s="1040"/>
      <c r="K34" s="1040"/>
      <c r="L34" s="1041"/>
      <c r="M34" s="1042"/>
      <c r="N34" s="1040"/>
      <c r="O34" s="1040"/>
      <c r="P34" s="1041"/>
      <c r="Q34" s="846"/>
      <c r="R34" s="839"/>
      <c r="S34" s="1040"/>
      <c r="T34" s="1040"/>
      <c r="U34" s="1040"/>
      <c r="V34" s="1054"/>
      <c r="W34" s="1055">
        <f t="shared" si="20"/>
        <v>0</v>
      </c>
      <c r="X34" s="1040"/>
      <c r="Y34" s="440">
        <f t="shared" si="21"/>
        <v>0</v>
      </c>
      <c r="Z34" s="915">
        <f t="shared" si="22"/>
        <v>0</v>
      </c>
      <c r="AA34" s="1048">
        <f t="shared" si="23"/>
        <v>0</v>
      </c>
      <c r="AB34" s="440">
        <f t="shared" si="24"/>
        <v>0</v>
      </c>
      <c r="AC34" s="440">
        <f t="shared" si="25"/>
        <v>0</v>
      </c>
      <c r="AD34" s="1056"/>
      <c r="AE34" s="154">
        <f t="shared" si="28"/>
        <v>0</v>
      </c>
      <c r="AF34" s="1057"/>
      <c r="AG34" s="1041"/>
      <c r="AH34" s="1042"/>
      <c r="AI34" s="913">
        <f t="shared" si="16"/>
        <v>0</v>
      </c>
      <c r="AJ34" s="1042"/>
      <c r="AK34" s="438">
        <f t="shared" si="26"/>
        <v>0</v>
      </c>
      <c r="AL34" s="462"/>
      <c r="AM34" s="462"/>
      <c r="AN34" s="1054"/>
      <c r="AO34" s="1042"/>
      <c r="AP34" s="462"/>
      <c r="AQ34" s="1052">
        <f t="shared" si="27"/>
        <v>0</v>
      </c>
      <c r="AR34" s="1052">
        <f t="shared" si="29"/>
        <v>0</v>
      </c>
      <c r="AS34" s="1058"/>
      <c r="AT34" s="1052">
        <f t="shared" si="30"/>
        <v>0</v>
      </c>
      <c r="AU34" s="1052">
        <f t="shared" si="31"/>
        <v>0</v>
      </c>
      <c r="AV34" s="460"/>
      <c r="AW34" s="1040"/>
      <c r="AX34" s="1041"/>
    </row>
    <row r="35" spans="1:51" ht="15.75" x14ac:dyDescent="0.3">
      <c r="A35" s="496">
        <v>21</v>
      </c>
      <c r="B35" s="462"/>
      <c r="C35" s="462"/>
      <c r="D35" s="462"/>
      <c r="E35" s="462"/>
      <c r="F35" s="1054"/>
      <c r="G35" s="843"/>
      <c r="H35" s="839"/>
      <c r="I35" s="1040"/>
      <c r="J35" s="1040"/>
      <c r="K35" s="1040"/>
      <c r="L35" s="1041"/>
      <c r="M35" s="1042"/>
      <c r="N35" s="1040"/>
      <c r="O35" s="1040"/>
      <c r="P35" s="1041"/>
      <c r="Q35" s="846"/>
      <c r="R35" s="839"/>
      <c r="S35" s="1040"/>
      <c r="T35" s="1040"/>
      <c r="U35" s="1040"/>
      <c r="V35" s="1054"/>
      <c r="W35" s="1055">
        <f t="shared" si="20"/>
        <v>0</v>
      </c>
      <c r="X35" s="1040"/>
      <c r="Y35" s="440">
        <f t="shared" si="21"/>
        <v>0</v>
      </c>
      <c r="Z35" s="915">
        <f t="shared" si="22"/>
        <v>0</v>
      </c>
      <c r="AA35" s="1048">
        <f t="shared" si="23"/>
        <v>0</v>
      </c>
      <c r="AB35" s="440">
        <f t="shared" si="24"/>
        <v>0</v>
      </c>
      <c r="AC35" s="440">
        <f t="shared" si="25"/>
        <v>0</v>
      </c>
      <c r="AD35" s="1056"/>
      <c r="AE35" s="154">
        <f t="shared" si="28"/>
        <v>0</v>
      </c>
      <c r="AF35" s="1057"/>
      <c r="AG35" s="1041"/>
      <c r="AH35" s="1042"/>
      <c r="AI35" s="913">
        <f t="shared" si="16"/>
        <v>0</v>
      </c>
      <c r="AJ35" s="1042"/>
      <c r="AK35" s="438">
        <f t="shared" si="26"/>
        <v>0</v>
      </c>
      <c r="AL35" s="462"/>
      <c r="AM35" s="462"/>
      <c r="AN35" s="1054"/>
      <c r="AO35" s="1042"/>
      <c r="AP35" s="462"/>
      <c r="AQ35" s="1052">
        <f t="shared" si="27"/>
        <v>0</v>
      </c>
      <c r="AR35" s="1052">
        <f t="shared" si="29"/>
        <v>0</v>
      </c>
      <c r="AS35" s="1058"/>
      <c r="AT35" s="1052">
        <f t="shared" si="30"/>
        <v>0</v>
      </c>
      <c r="AU35" s="1052">
        <f t="shared" si="31"/>
        <v>0</v>
      </c>
      <c r="AV35" s="460"/>
      <c r="AW35" s="1040"/>
      <c r="AX35" s="1041"/>
    </row>
    <row r="36" spans="1:51" ht="15.75" x14ac:dyDescent="0.3">
      <c r="A36" s="496">
        <v>22</v>
      </c>
      <c r="B36" s="462"/>
      <c r="C36" s="462"/>
      <c r="D36" s="462"/>
      <c r="E36" s="462"/>
      <c r="F36" s="1054"/>
      <c r="G36" s="843"/>
      <c r="H36" s="839"/>
      <c r="I36" s="1040"/>
      <c r="J36" s="1040"/>
      <c r="K36" s="1040"/>
      <c r="L36" s="1041"/>
      <c r="M36" s="1042"/>
      <c r="N36" s="1040"/>
      <c r="O36" s="1040"/>
      <c r="P36" s="1041"/>
      <c r="Q36" s="846"/>
      <c r="R36" s="839"/>
      <c r="S36" s="1040"/>
      <c r="T36" s="1040"/>
      <c r="U36" s="1040"/>
      <c r="V36" s="1054"/>
      <c r="W36" s="1055">
        <f t="shared" si="20"/>
        <v>0</v>
      </c>
      <c r="X36" s="1040"/>
      <c r="Y36" s="440">
        <f t="shared" si="21"/>
        <v>0</v>
      </c>
      <c r="Z36" s="915">
        <f t="shared" si="22"/>
        <v>0</v>
      </c>
      <c r="AA36" s="1048">
        <f t="shared" si="23"/>
        <v>0</v>
      </c>
      <c r="AB36" s="440">
        <f t="shared" si="24"/>
        <v>0</v>
      </c>
      <c r="AC36" s="440">
        <f t="shared" si="25"/>
        <v>0</v>
      </c>
      <c r="AD36" s="1056"/>
      <c r="AE36" s="154">
        <f t="shared" si="28"/>
        <v>0</v>
      </c>
      <c r="AF36" s="1057"/>
      <c r="AG36" s="1041"/>
      <c r="AH36" s="1042"/>
      <c r="AI36" s="913">
        <f t="shared" si="16"/>
        <v>0</v>
      </c>
      <c r="AJ36" s="1042"/>
      <c r="AK36" s="438">
        <f t="shared" si="26"/>
        <v>0</v>
      </c>
      <c r="AL36" s="462"/>
      <c r="AM36" s="462"/>
      <c r="AN36" s="1054"/>
      <c r="AO36" s="1042"/>
      <c r="AP36" s="462"/>
      <c r="AQ36" s="1052">
        <f t="shared" si="27"/>
        <v>0</v>
      </c>
      <c r="AR36" s="1052">
        <f t="shared" si="29"/>
        <v>0</v>
      </c>
      <c r="AS36" s="1058"/>
      <c r="AT36" s="1052">
        <f t="shared" si="30"/>
        <v>0</v>
      </c>
      <c r="AU36" s="1052">
        <f t="shared" si="31"/>
        <v>0</v>
      </c>
      <c r="AV36" s="460"/>
      <c r="AW36" s="1040"/>
      <c r="AX36" s="1041"/>
      <c r="AY36" s="111"/>
    </row>
    <row r="37" spans="1:51" ht="15.75" x14ac:dyDescent="0.3">
      <c r="A37" s="496">
        <v>23</v>
      </c>
      <c r="B37" s="462"/>
      <c r="C37" s="462"/>
      <c r="D37" s="462"/>
      <c r="E37" s="462"/>
      <c r="F37" s="1054"/>
      <c r="G37" s="843"/>
      <c r="H37" s="839"/>
      <c r="I37" s="1040"/>
      <c r="J37" s="1040"/>
      <c r="K37" s="1040"/>
      <c r="L37" s="1041"/>
      <c r="M37" s="1042"/>
      <c r="N37" s="1040"/>
      <c r="O37" s="1040"/>
      <c r="P37" s="1041"/>
      <c r="Q37" s="846"/>
      <c r="R37" s="839"/>
      <c r="S37" s="1040"/>
      <c r="T37" s="1040"/>
      <c r="U37" s="1040"/>
      <c r="V37" s="1054"/>
      <c r="W37" s="1055">
        <f t="shared" si="20"/>
        <v>0</v>
      </c>
      <c r="X37" s="1040"/>
      <c r="Y37" s="440">
        <f t="shared" si="21"/>
        <v>0</v>
      </c>
      <c r="Z37" s="915">
        <f t="shared" si="22"/>
        <v>0</v>
      </c>
      <c r="AA37" s="1048">
        <f t="shared" si="23"/>
        <v>0</v>
      </c>
      <c r="AB37" s="440">
        <f t="shared" si="24"/>
        <v>0</v>
      </c>
      <c r="AC37" s="440">
        <f t="shared" si="25"/>
        <v>0</v>
      </c>
      <c r="AD37" s="1056"/>
      <c r="AE37" s="154">
        <f t="shared" si="28"/>
        <v>0</v>
      </c>
      <c r="AF37" s="1057"/>
      <c r="AG37" s="1041"/>
      <c r="AH37" s="1042"/>
      <c r="AI37" s="913">
        <f t="shared" si="16"/>
        <v>0</v>
      </c>
      <c r="AJ37" s="1042"/>
      <c r="AK37" s="438">
        <f t="shared" si="26"/>
        <v>0</v>
      </c>
      <c r="AL37" s="462"/>
      <c r="AM37" s="462"/>
      <c r="AN37" s="1054"/>
      <c r="AO37" s="1042"/>
      <c r="AP37" s="462"/>
      <c r="AQ37" s="1052">
        <f t="shared" si="27"/>
        <v>0</v>
      </c>
      <c r="AR37" s="1052">
        <f t="shared" si="29"/>
        <v>0</v>
      </c>
      <c r="AS37" s="1058"/>
      <c r="AT37" s="1052">
        <f t="shared" si="30"/>
        <v>0</v>
      </c>
      <c r="AU37" s="1052">
        <f t="shared" si="31"/>
        <v>0</v>
      </c>
      <c r="AV37" s="460"/>
      <c r="AW37" s="1040"/>
      <c r="AX37" s="1041"/>
    </row>
    <row r="38" spans="1:51" ht="15.75" x14ac:dyDescent="0.3">
      <c r="A38" s="496">
        <v>24</v>
      </c>
      <c r="B38" s="1059"/>
      <c r="C38" s="1059"/>
      <c r="D38" s="1059"/>
      <c r="E38" s="1059"/>
      <c r="F38" s="1060"/>
      <c r="G38" s="1061"/>
      <c r="H38" s="1062"/>
      <c r="I38" s="462"/>
      <c r="J38" s="1063"/>
      <c r="K38" s="1063"/>
      <c r="L38" s="1041"/>
      <c r="M38" s="1064"/>
      <c r="N38" s="1063"/>
      <c r="O38" s="1063"/>
      <c r="P38" s="1065"/>
      <c r="Q38" s="1066"/>
      <c r="R38" s="839"/>
      <c r="S38" s="462"/>
      <c r="T38" s="462"/>
      <c r="U38" s="462"/>
      <c r="V38" s="1054"/>
      <c r="W38" s="1055">
        <f t="shared" si="20"/>
        <v>0</v>
      </c>
      <c r="X38" s="462"/>
      <c r="Y38" s="440">
        <f t="shared" si="21"/>
        <v>0</v>
      </c>
      <c r="Z38" s="915">
        <f t="shared" si="22"/>
        <v>0</v>
      </c>
      <c r="AA38" s="1048">
        <f t="shared" si="23"/>
        <v>0</v>
      </c>
      <c r="AB38" s="440">
        <f t="shared" si="24"/>
        <v>0</v>
      </c>
      <c r="AC38" s="440">
        <f t="shared" si="25"/>
        <v>0</v>
      </c>
      <c r="AD38" s="1056"/>
      <c r="AE38" s="154">
        <f t="shared" si="28"/>
        <v>0</v>
      </c>
      <c r="AF38" s="1067"/>
      <c r="AG38" s="1065"/>
      <c r="AH38" s="839"/>
      <c r="AI38" s="913">
        <f t="shared" si="16"/>
        <v>0</v>
      </c>
      <c r="AJ38" s="839"/>
      <c r="AK38" s="438">
        <f t="shared" si="26"/>
        <v>0</v>
      </c>
      <c r="AL38" s="462"/>
      <c r="AM38" s="462"/>
      <c r="AN38" s="1054"/>
      <c r="AO38" s="1042"/>
      <c r="AP38" s="1059"/>
      <c r="AQ38" s="1052">
        <f t="shared" si="27"/>
        <v>0</v>
      </c>
      <c r="AR38" s="1052">
        <f t="shared" si="29"/>
        <v>0</v>
      </c>
      <c r="AS38" s="1068"/>
      <c r="AT38" s="1052">
        <f t="shared" si="30"/>
        <v>0</v>
      </c>
      <c r="AU38" s="1052">
        <f t="shared" si="31"/>
        <v>0</v>
      </c>
      <c r="AV38" s="1069"/>
      <c r="AW38" s="1063"/>
      <c r="AX38" s="1065"/>
    </row>
    <row r="39" spans="1:51" ht="16.5" thickBot="1" x14ac:dyDescent="0.35">
      <c r="A39" s="511" t="s">
        <v>573</v>
      </c>
      <c r="B39" s="631"/>
      <c r="C39" s="624"/>
      <c r="D39" s="624"/>
      <c r="E39" s="624"/>
      <c r="F39" s="625"/>
      <c r="G39" s="626"/>
      <c r="H39" s="627"/>
      <c r="I39" s="624"/>
      <c r="J39" s="624"/>
      <c r="K39" s="624"/>
      <c r="L39" s="630"/>
      <c r="M39" s="627"/>
      <c r="N39" s="624"/>
      <c r="O39" s="624"/>
      <c r="P39" s="625"/>
      <c r="Q39" s="626"/>
      <c r="R39" s="627"/>
      <c r="S39" s="624"/>
      <c r="T39" s="624"/>
      <c r="U39" s="624"/>
      <c r="V39" s="632"/>
      <c r="W39" s="587">
        <f t="shared" si="20"/>
        <v>0</v>
      </c>
      <c r="X39" s="628"/>
      <c r="Y39" s="588">
        <f t="shared" si="21"/>
        <v>0</v>
      </c>
      <c r="Z39" s="589">
        <f t="shared" si="22"/>
        <v>0</v>
      </c>
      <c r="AA39" s="587">
        <f t="shared" si="23"/>
        <v>0</v>
      </c>
      <c r="AB39" s="588">
        <f t="shared" si="24"/>
        <v>0</v>
      </c>
      <c r="AC39" s="590">
        <f>IF(AA39&gt;0,0.7*T$6*W$4/W$6*720*8/8760,0)</f>
        <v>0</v>
      </c>
      <c r="AD39" s="633"/>
      <c r="AE39" s="591">
        <f t="shared" si="28"/>
        <v>0</v>
      </c>
      <c r="AF39" s="634"/>
      <c r="AG39" s="632"/>
      <c r="AH39" s="629"/>
      <c r="AI39" s="592">
        <f t="shared" si="16"/>
        <v>0</v>
      </c>
      <c r="AJ39" s="629"/>
      <c r="AK39" s="586">
        <f t="shared" si="26"/>
        <v>0</v>
      </c>
      <c r="AL39" s="628"/>
      <c r="AM39" s="628"/>
      <c r="AN39" s="630"/>
      <c r="AO39" s="623"/>
      <c r="AP39" s="631"/>
      <c r="AQ39" s="591">
        <f t="shared" si="27"/>
        <v>0</v>
      </c>
      <c r="AR39" s="591">
        <f t="shared" si="29"/>
        <v>0</v>
      </c>
      <c r="AS39" s="635"/>
      <c r="AT39" s="593">
        <f t="shared" si="30"/>
        <v>0</v>
      </c>
      <c r="AU39" s="593">
        <f t="shared" si="31"/>
        <v>0</v>
      </c>
      <c r="AV39" s="636"/>
      <c r="AW39" s="631"/>
      <c r="AX39" s="632"/>
    </row>
    <row r="40" spans="1:51" s="130" customFormat="1" ht="16.5" thickBot="1" x14ac:dyDescent="0.35">
      <c r="A40" s="594" t="s">
        <v>575</v>
      </c>
      <c r="B40" s="595">
        <f>IF(B39&gt;0,B39,SUM(B27:B38))</f>
        <v>0</v>
      </c>
      <c r="C40" s="596">
        <f t="shared" ref="C40:J40" si="32">IF(C39&gt;0,C39,SUM(C27:C38))</f>
        <v>0</v>
      </c>
      <c r="D40" s="596">
        <f t="shared" si="32"/>
        <v>0</v>
      </c>
      <c r="E40" s="596">
        <f t="shared" si="32"/>
        <v>0</v>
      </c>
      <c r="F40" s="597">
        <f t="shared" si="32"/>
        <v>0</v>
      </c>
      <c r="G40" s="597">
        <f t="shared" si="32"/>
        <v>0</v>
      </c>
      <c r="H40" s="598">
        <f t="shared" si="32"/>
        <v>0</v>
      </c>
      <c r="I40" s="596">
        <f t="shared" si="32"/>
        <v>0</v>
      </c>
      <c r="J40" s="596">
        <f t="shared" si="32"/>
        <v>0</v>
      </c>
      <c r="K40" s="596">
        <f t="shared" ref="K40:V40" si="33">IF(K39&gt;0,K39,SUM(K27:K38))</f>
        <v>0</v>
      </c>
      <c r="L40" s="597">
        <f t="shared" si="33"/>
        <v>0</v>
      </c>
      <c r="M40" s="598">
        <f t="shared" si="33"/>
        <v>0</v>
      </c>
      <c r="N40" s="596">
        <f t="shared" si="33"/>
        <v>0</v>
      </c>
      <c r="O40" s="596">
        <f t="shared" si="33"/>
        <v>0</v>
      </c>
      <c r="P40" s="599">
        <f t="shared" si="33"/>
        <v>0</v>
      </c>
      <c r="Q40" s="600">
        <f t="shared" si="33"/>
        <v>0</v>
      </c>
      <c r="R40" s="598">
        <f t="shared" si="33"/>
        <v>0</v>
      </c>
      <c r="S40" s="596">
        <f t="shared" si="33"/>
        <v>0</v>
      </c>
      <c r="T40" s="596">
        <f t="shared" si="33"/>
        <v>0</v>
      </c>
      <c r="U40" s="596">
        <f t="shared" si="33"/>
        <v>0</v>
      </c>
      <c r="V40" s="597">
        <f t="shared" si="33"/>
        <v>0</v>
      </c>
      <c r="W40" s="598">
        <f t="shared" ref="W40:AC40" si="34">IF(W39&gt;0,W39,SUM(W27:W38))</f>
        <v>0</v>
      </c>
      <c r="X40" s="596">
        <f t="shared" si="34"/>
        <v>0</v>
      </c>
      <c r="Y40" s="596">
        <f t="shared" si="34"/>
        <v>0</v>
      </c>
      <c r="Z40" s="599">
        <f t="shared" si="34"/>
        <v>0</v>
      </c>
      <c r="AA40" s="598">
        <f t="shared" si="34"/>
        <v>0</v>
      </c>
      <c r="AB40" s="596">
        <f t="shared" si="34"/>
        <v>0</v>
      </c>
      <c r="AC40" s="596">
        <f t="shared" si="34"/>
        <v>0</v>
      </c>
      <c r="AD40" s="601" t="str">
        <f>IF(AD39&gt;0,AD39,"-")</f>
        <v>-</v>
      </c>
      <c r="AE40" s="602">
        <f t="shared" ref="AE40:AK40" si="35">IF(AE39&gt;0,AE39,SUM(AE27:AE38))</f>
        <v>0</v>
      </c>
      <c r="AF40" s="602">
        <f t="shared" si="35"/>
        <v>0</v>
      </c>
      <c r="AG40" s="603">
        <f t="shared" si="35"/>
        <v>0</v>
      </c>
      <c r="AH40" s="598">
        <f t="shared" si="35"/>
        <v>0</v>
      </c>
      <c r="AI40" s="600">
        <f t="shared" si="35"/>
        <v>0</v>
      </c>
      <c r="AJ40" s="604">
        <f t="shared" si="35"/>
        <v>0</v>
      </c>
      <c r="AK40" s="604">
        <f t="shared" si="35"/>
        <v>0</v>
      </c>
      <c r="AL40" s="605">
        <f t="shared" ref="AL40:AR40" si="36">IF(AL39&gt;0,AL39,SUM(AL27:AL38))</f>
        <v>0</v>
      </c>
      <c r="AM40" s="605">
        <f t="shared" si="36"/>
        <v>0</v>
      </c>
      <c r="AN40" s="606">
        <f t="shared" si="36"/>
        <v>0</v>
      </c>
      <c r="AO40" s="604">
        <f t="shared" si="36"/>
        <v>0</v>
      </c>
      <c r="AP40" s="607">
        <f t="shared" si="36"/>
        <v>0</v>
      </c>
      <c r="AQ40" s="607">
        <f t="shared" si="36"/>
        <v>0</v>
      </c>
      <c r="AR40" s="607">
        <f t="shared" si="36"/>
        <v>0</v>
      </c>
      <c r="AS40" s="608" t="str">
        <f>IF(AS39&gt;0,AS39,"-")</f>
        <v>-</v>
      </c>
      <c r="AT40" s="609">
        <f>IF(AT39&gt;0,AT39,SUM(AT27:AT38))</f>
        <v>0</v>
      </c>
      <c r="AU40" s="609">
        <f>IF(AU39&gt;0,AU39,SUM(AU27:AU38))</f>
        <v>0</v>
      </c>
      <c r="AV40" s="610">
        <f>IF(AV39&gt;0,AV39,SUM(AV27:AV38))</f>
        <v>0</v>
      </c>
      <c r="AW40" s="610">
        <f>IF(AW39&gt;0,AW39,SUM(AW27:AW38))</f>
        <v>0</v>
      </c>
      <c r="AX40" s="611">
        <f>IF(AX39&gt;0,AX39,SUM(AX27:AX38))</f>
        <v>0</v>
      </c>
    </row>
    <row r="41" spans="1:51" ht="15.75" x14ac:dyDescent="0.3">
      <c r="A41" s="585">
        <v>25</v>
      </c>
      <c r="B41" s="1039"/>
      <c r="C41" s="1040"/>
      <c r="D41" s="1040"/>
      <c r="E41" s="1040"/>
      <c r="F41" s="1041"/>
      <c r="G41" s="846"/>
      <c r="H41" s="1042"/>
      <c r="I41" s="1040"/>
      <c r="J41" s="1040"/>
      <c r="K41" s="1040"/>
      <c r="L41" s="1041"/>
      <c r="M41" s="1042"/>
      <c r="N41" s="1040"/>
      <c r="O41" s="1040"/>
      <c r="P41" s="1041"/>
      <c r="Q41" s="846"/>
      <c r="R41" s="1042"/>
      <c r="S41" s="1040"/>
      <c r="T41" s="1040"/>
      <c r="U41" s="1040"/>
      <c r="V41" s="1041"/>
      <c r="W41" s="1048">
        <f t="shared" ref="W41:W53" si="37">B41-H41-M41-R41</f>
        <v>0</v>
      </c>
      <c r="X41" s="1040"/>
      <c r="Y41" s="438">
        <f t="shared" ref="Y41:Y53" si="38">E41-K41-O41-T41</f>
        <v>0</v>
      </c>
      <c r="Z41" s="1047">
        <f t="shared" ref="Z41:Z53" si="39">F41-L41-P41-U41</f>
        <v>0</v>
      </c>
      <c r="AA41" s="1045">
        <f t="shared" ref="AA41:AA53" si="40">W41+X41+Y41+Z41</f>
        <v>0</v>
      </c>
      <c r="AB41" s="1070">
        <f t="shared" ref="AB41:AB53" si="41">IF(AA41&gt;0,-0.05*AA41*T$7,0)</f>
        <v>0</v>
      </c>
      <c r="AC41" s="1046">
        <f t="shared" ref="AC41:AC52" si="42">IF(AA41&gt;0,0.7*T$8*W$4/W$6*720/8760,0)</f>
        <v>0</v>
      </c>
      <c r="AD41" s="1049"/>
      <c r="AE41" s="1050">
        <f>IF(AD41=0,0,(AA41+AB41+AC41)/AD41)</f>
        <v>0</v>
      </c>
      <c r="AF41" s="1051"/>
      <c r="AG41" s="1043"/>
      <c r="AH41" s="1042"/>
      <c r="AI41" s="913">
        <f t="shared" si="16"/>
        <v>0</v>
      </c>
      <c r="AJ41" s="1042"/>
      <c r="AK41" s="438">
        <f t="shared" ref="AK41:AK53" si="43">C41-I41-N41-S41-X41+AJ41</f>
        <v>0</v>
      </c>
      <c r="AL41" s="1040"/>
      <c r="AM41" s="1040"/>
      <c r="AN41" s="1041"/>
      <c r="AO41" s="1042"/>
      <c r="AP41" s="1040"/>
      <c r="AQ41" s="1052">
        <f t="shared" ref="AQ41:AQ53" si="44">D41-J41</f>
        <v>0</v>
      </c>
      <c r="AR41" s="1052">
        <f>AO41-AP41</f>
        <v>0</v>
      </c>
      <c r="AS41" s="1053"/>
      <c r="AT41" s="1052">
        <f>IF(AS41&gt;0,AQ41/AS41,0)</f>
        <v>0</v>
      </c>
      <c r="AU41" s="1052">
        <f>IF(AS41&gt;0,AR41/AS41,0)</f>
        <v>0</v>
      </c>
      <c r="AV41" s="460"/>
      <c r="AW41" s="1040"/>
      <c r="AX41" s="1041"/>
    </row>
    <row r="42" spans="1:51" ht="15.75" x14ac:dyDescent="0.3">
      <c r="A42" s="496">
        <v>26</v>
      </c>
      <c r="B42" s="462"/>
      <c r="C42" s="462"/>
      <c r="D42" s="462"/>
      <c r="E42" s="462"/>
      <c r="F42" s="1054"/>
      <c r="G42" s="843"/>
      <c r="H42" s="839"/>
      <c r="I42" s="1040"/>
      <c r="J42" s="1040"/>
      <c r="K42" s="1040"/>
      <c r="L42" s="1041"/>
      <c r="M42" s="1042"/>
      <c r="N42" s="1040"/>
      <c r="O42" s="1040"/>
      <c r="P42" s="1041"/>
      <c r="Q42" s="846"/>
      <c r="R42" s="839"/>
      <c r="S42" s="1040"/>
      <c r="T42" s="1040"/>
      <c r="U42" s="1040"/>
      <c r="V42" s="1054"/>
      <c r="W42" s="1048">
        <f t="shared" si="37"/>
        <v>0</v>
      </c>
      <c r="X42" s="1040"/>
      <c r="Y42" s="438">
        <f t="shared" si="38"/>
        <v>0</v>
      </c>
      <c r="Z42" s="913">
        <f t="shared" si="39"/>
        <v>0</v>
      </c>
      <c r="AA42" s="1055">
        <f t="shared" si="40"/>
        <v>0</v>
      </c>
      <c r="AB42" s="440">
        <f t="shared" si="41"/>
        <v>0</v>
      </c>
      <c r="AC42" s="440">
        <f t="shared" si="42"/>
        <v>0</v>
      </c>
      <c r="AD42" s="1056"/>
      <c r="AE42" s="154">
        <f t="shared" ref="AE42:AE53" si="45">IF(AD42=0,0,(AA42+AB42+AC42)/AD42)</f>
        <v>0</v>
      </c>
      <c r="AF42" s="1071"/>
      <c r="AG42" s="1041"/>
      <c r="AH42" s="1042"/>
      <c r="AI42" s="913">
        <f t="shared" si="16"/>
        <v>0</v>
      </c>
      <c r="AJ42" s="1042"/>
      <c r="AK42" s="438">
        <f t="shared" si="43"/>
        <v>0</v>
      </c>
      <c r="AL42" s="462"/>
      <c r="AM42" s="462"/>
      <c r="AN42" s="1054"/>
      <c r="AO42" s="1042"/>
      <c r="AP42" s="462"/>
      <c r="AQ42" s="1052">
        <f t="shared" si="44"/>
        <v>0</v>
      </c>
      <c r="AR42" s="1052">
        <f t="shared" ref="AR42:AR53" si="46">AO42-AP42</f>
        <v>0</v>
      </c>
      <c r="AS42" s="1058"/>
      <c r="AT42" s="1052">
        <f t="shared" ref="AT42:AT53" si="47">IF(AS42&gt;0,AQ42/AS42,0)</f>
        <v>0</v>
      </c>
      <c r="AU42" s="1052">
        <f t="shared" ref="AU42:AU53" si="48">IF(AS42&gt;0,AR42/AS42,0)</f>
        <v>0</v>
      </c>
      <c r="AV42" s="460"/>
      <c r="AW42" s="1040"/>
      <c r="AX42" s="1041"/>
    </row>
    <row r="43" spans="1:51" ht="15.75" x14ac:dyDescent="0.3">
      <c r="A43" s="496">
        <v>27</v>
      </c>
      <c r="B43" s="462"/>
      <c r="C43" s="462"/>
      <c r="D43" s="462"/>
      <c r="E43" s="462"/>
      <c r="F43" s="1054"/>
      <c r="G43" s="843"/>
      <c r="H43" s="839"/>
      <c r="I43" s="1040"/>
      <c r="J43" s="1040"/>
      <c r="K43" s="1040"/>
      <c r="L43" s="1041"/>
      <c r="M43" s="1042"/>
      <c r="N43" s="1040"/>
      <c r="O43" s="1040"/>
      <c r="P43" s="1041"/>
      <c r="Q43" s="846"/>
      <c r="R43" s="839"/>
      <c r="S43" s="1040"/>
      <c r="T43" s="1040"/>
      <c r="U43" s="1040"/>
      <c r="V43" s="1054"/>
      <c r="W43" s="1048">
        <f t="shared" si="37"/>
        <v>0</v>
      </c>
      <c r="X43" s="1040"/>
      <c r="Y43" s="438">
        <f t="shared" si="38"/>
        <v>0</v>
      </c>
      <c r="Z43" s="913">
        <f t="shared" si="39"/>
        <v>0</v>
      </c>
      <c r="AA43" s="1055">
        <f t="shared" si="40"/>
        <v>0</v>
      </c>
      <c r="AB43" s="440">
        <f t="shared" si="41"/>
        <v>0</v>
      </c>
      <c r="AC43" s="440">
        <f t="shared" si="42"/>
        <v>0</v>
      </c>
      <c r="AD43" s="1056"/>
      <c r="AE43" s="154">
        <f t="shared" si="45"/>
        <v>0</v>
      </c>
      <c r="AF43" s="1071"/>
      <c r="AG43" s="1041"/>
      <c r="AH43" s="1042"/>
      <c r="AI43" s="913">
        <f t="shared" si="16"/>
        <v>0</v>
      </c>
      <c r="AJ43" s="1042"/>
      <c r="AK43" s="438">
        <f t="shared" si="43"/>
        <v>0</v>
      </c>
      <c r="AL43" s="462"/>
      <c r="AM43" s="462"/>
      <c r="AN43" s="1054"/>
      <c r="AO43" s="1042"/>
      <c r="AP43" s="462"/>
      <c r="AQ43" s="1052">
        <f t="shared" si="44"/>
        <v>0</v>
      </c>
      <c r="AR43" s="1052">
        <f t="shared" si="46"/>
        <v>0</v>
      </c>
      <c r="AS43" s="1058"/>
      <c r="AT43" s="1052">
        <f t="shared" si="47"/>
        <v>0</v>
      </c>
      <c r="AU43" s="1052">
        <f t="shared" si="48"/>
        <v>0</v>
      </c>
      <c r="AV43" s="460"/>
      <c r="AW43" s="1040"/>
      <c r="AX43" s="1041"/>
    </row>
    <row r="44" spans="1:51" ht="15.75" x14ac:dyDescent="0.3">
      <c r="A44" s="496">
        <v>28</v>
      </c>
      <c r="B44" s="1040"/>
      <c r="C44" s="1040"/>
      <c r="D44" s="1040"/>
      <c r="E44" s="1040"/>
      <c r="F44" s="1041"/>
      <c r="G44" s="846"/>
      <c r="H44" s="1042"/>
      <c r="I44" s="1040"/>
      <c r="J44" s="1040"/>
      <c r="K44" s="1040"/>
      <c r="L44" s="1041"/>
      <c r="M44" s="1042"/>
      <c r="N44" s="1040"/>
      <c r="O44" s="1040"/>
      <c r="P44" s="1041"/>
      <c r="Q44" s="846"/>
      <c r="R44" s="839"/>
      <c r="S44" s="1040"/>
      <c r="T44" s="1040"/>
      <c r="U44" s="1040"/>
      <c r="V44" s="1054"/>
      <c r="W44" s="1048">
        <f t="shared" si="37"/>
        <v>0</v>
      </c>
      <c r="X44" s="1040"/>
      <c r="Y44" s="438">
        <f t="shared" si="38"/>
        <v>0</v>
      </c>
      <c r="Z44" s="913">
        <f t="shared" si="39"/>
        <v>0</v>
      </c>
      <c r="AA44" s="1055">
        <f t="shared" si="40"/>
        <v>0</v>
      </c>
      <c r="AB44" s="440">
        <f t="shared" si="41"/>
        <v>0</v>
      </c>
      <c r="AC44" s="440">
        <f t="shared" si="42"/>
        <v>0</v>
      </c>
      <c r="AD44" s="1056"/>
      <c r="AE44" s="154">
        <f t="shared" si="45"/>
        <v>0</v>
      </c>
      <c r="AF44" s="1071"/>
      <c r="AG44" s="1041"/>
      <c r="AH44" s="1042"/>
      <c r="AI44" s="913">
        <f t="shared" si="16"/>
        <v>0</v>
      </c>
      <c r="AJ44" s="1042"/>
      <c r="AK44" s="438">
        <f t="shared" si="43"/>
        <v>0</v>
      </c>
      <c r="AL44" s="462"/>
      <c r="AM44" s="462"/>
      <c r="AN44" s="1054"/>
      <c r="AO44" s="1042"/>
      <c r="AP44" s="462"/>
      <c r="AQ44" s="1052">
        <f t="shared" si="44"/>
        <v>0</v>
      </c>
      <c r="AR44" s="1052">
        <f t="shared" si="46"/>
        <v>0</v>
      </c>
      <c r="AS44" s="1058"/>
      <c r="AT44" s="1052">
        <f t="shared" si="47"/>
        <v>0</v>
      </c>
      <c r="AU44" s="1052">
        <f t="shared" si="48"/>
        <v>0</v>
      </c>
      <c r="AV44" s="460"/>
      <c r="AW44" s="1040"/>
      <c r="AX44" s="1041"/>
    </row>
    <row r="45" spans="1:51" ht="15.75" x14ac:dyDescent="0.3">
      <c r="A45" s="496">
        <v>29</v>
      </c>
      <c r="B45" s="462"/>
      <c r="C45" s="462"/>
      <c r="D45" s="462"/>
      <c r="E45" s="462"/>
      <c r="F45" s="1054"/>
      <c r="G45" s="843"/>
      <c r="H45" s="839"/>
      <c r="I45" s="1040"/>
      <c r="J45" s="1040"/>
      <c r="K45" s="1040"/>
      <c r="L45" s="1041"/>
      <c r="M45" s="1042"/>
      <c r="N45" s="1040"/>
      <c r="O45" s="1040"/>
      <c r="P45" s="1041"/>
      <c r="Q45" s="846"/>
      <c r="R45" s="839"/>
      <c r="S45" s="1040"/>
      <c r="T45" s="1040"/>
      <c r="U45" s="1040"/>
      <c r="V45" s="1054"/>
      <c r="W45" s="1048">
        <f t="shared" si="37"/>
        <v>0</v>
      </c>
      <c r="X45" s="1040"/>
      <c r="Y45" s="438">
        <f t="shared" si="38"/>
        <v>0</v>
      </c>
      <c r="Z45" s="913">
        <f t="shared" si="39"/>
        <v>0</v>
      </c>
      <c r="AA45" s="1055">
        <f t="shared" si="40"/>
        <v>0</v>
      </c>
      <c r="AB45" s="440">
        <f t="shared" si="41"/>
        <v>0</v>
      </c>
      <c r="AC45" s="440">
        <f t="shared" si="42"/>
        <v>0</v>
      </c>
      <c r="AD45" s="1056"/>
      <c r="AE45" s="154">
        <f t="shared" si="45"/>
        <v>0</v>
      </c>
      <c r="AF45" s="1071"/>
      <c r="AG45" s="1041"/>
      <c r="AH45" s="1042"/>
      <c r="AI45" s="913">
        <f t="shared" si="16"/>
        <v>0</v>
      </c>
      <c r="AJ45" s="1042"/>
      <c r="AK45" s="438">
        <f t="shared" si="43"/>
        <v>0</v>
      </c>
      <c r="AL45" s="462"/>
      <c r="AM45" s="462"/>
      <c r="AN45" s="1054"/>
      <c r="AO45" s="1042"/>
      <c r="AP45" s="462"/>
      <c r="AQ45" s="1052">
        <f t="shared" si="44"/>
        <v>0</v>
      </c>
      <c r="AR45" s="1052">
        <f t="shared" si="46"/>
        <v>0</v>
      </c>
      <c r="AS45" s="1058"/>
      <c r="AT45" s="1052">
        <f t="shared" si="47"/>
        <v>0</v>
      </c>
      <c r="AU45" s="1052">
        <f t="shared" si="48"/>
        <v>0</v>
      </c>
      <c r="AV45" s="460"/>
      <c r="AW45" s="1040"/>
      <c r="AX45" s="1041"/>
    </row>
    <row r="46" spans="1:51" ht="15.75" x14ac:dyDescent="0.3">
      <c r="A46" s="496">
        <v>30</v>
      </c>
      <c r="B46" s="462"/>
      <c r="C46" s="462"/>
      <c r="D46" s="462"/>
      <c r="E46" s="462"/>
      <c r="F46" s="1054"/>
      <c r="G46" s="843"/>
      <c r="H46" s="839"/>
      <c r="I46" s="1040"/>
      <c r="J46" s="1040"/>
      <c r="K46" s="1040"/>
      <c r="L46" s="1041"/>
      <c r="M46" s="1042"/>
      <c r="N46" s="1040"/>
      <c r="O46" s="1040"/>
      <c r="P46" s="1041"/>
      <c r="Q46" s="846"/>
      <c r="R46" s="839"/>
      <c r="S46" s="1040"/>
      <c r="T46" s="1040"/>
      <c r="U46" s="1040"/>
      <c r="V46" s="1054"/>
      <c r="W46" s="1048">
        <f t="shared" si="37"/>
        <v>0</v>
      </c>
      <c r="X46" s="1040"/>
      <c r="Y46" s="438">
        <f t="shared" si="38"/>
        <v>0</v>
      </c>
      <c r="Z46" s="913">
        <f t="shared" si="39"/>
        <v>0</v>
      </c>
      <c r="AA46" s="1055">
        <f t="shared" si="40"/>
        <v>0</v>
      </c>
      <c r="AB46" s="440">
        <f t="shared" si="41"/>
        <v>0</v>
      </c>
      <c r="AC46" s="440">
        <f t="shared" si="42"/>
        <v>0</v>
      </c>
      <c r="AD46" s="1056"/>
      <c r="AE46" s="154">
        <f t="shared" si="45"/>
        <v>0</v>
      </c>
      <c r="AF46" s="1071"/>
      <c r="AG46" s="1041"/>
      <c r="AH46" s="1042"/>
      <c r="AI46" s="913">
        <f t="shared" si="16"/>
        <v>0</v>
      </c>
      <c r="AJ46" s="1042"/>
      <c r="AK46" s="438">
        <f t="shared" si="43"/>
        <v>0</v>
      </c>
      <c r="AL46" s="462"/>
      <c r="AM46" s="462"/>
      <c r="AN46" s="1054"/>
      <c r="AO46" s="1042"/>
      <c r="AP46" s="462"/>
      <c r="AQ46" s="1052">
        <f t="shared" si="44"/>
        <v>0</v>
      </c>
      <c r="AR46" s="1052">
        <f t="shared" si="46"/>
        <v>0</v>
      </c>
      <c r="AS46" s="1058"/>
      <c r="AT46" s="1052">
        <f t="shared" si="47"/>
        <v>0</v>
      </c>
      <c r="AU46" s="1052">
        <f t="shared" si="48"/>
        <v>0</v>
      </c>
      <c r="AV46" s="460"/>
      <c r="AW46" s="1040"/>
      <c r="AX46" s="1041"/>
    </row>
    <row r="47" spans="1:51" ht="15.75" x14ac:dyDescent="0.3">
      <c r="A47" s="496">
        <v>31</v>
      </c>
      <c r="B47" s="1040"/>
      <c r="C47" s="1040"/>
      <c r="D47" s="1040"/>
      <c r="E47" s="1040"/>
      <c r="F47" s="1041"/>
      <c r="G47" s="846"/>
      <c r="H47" s="1042"/>
      <c r="I47" s="1040"/>
      <c r="J47" s="1040"/>
      <c r="K47" s="1040"/>
      <c r="L47" s="1041"/>
      <c r="M47" s="1042"/>
      <c r="N47" s="1040"/>
      <c r="O47" s="1040"/>
      <c r="P47" s="1041"/>
      <c r="Q47" s="846"/>
      <c r="R47" s="839"/>
      <c r="S47" s="1040"/>
      <c r="T47" s="1040"/>
      <c r="U47" s="1040"/>
      <c r="V47" s="1054"/>
      <c r="W47" s="1048">
        <f t="shared" si="37"/>
        <v>0</v>
      </c>
      <c r="X47" s="1040"/>
      <c r="Y47" s="438">
        <f t="shared" si="38"/>
        <v>0</v>
      </c>
      <c r="Z47" s="913">
        <f t="shared" si="39"/>
        <v>0</v>
      </c>
      <c r="AA47" s="1055">
        <f t="shared" si="40"/>
        <v>0</v>
      </c>
      <c r="AB47" s="440">
        <f t="shared" si="41"/>
        <v>0</v>
      </c>
      <c r="AC47" s="440">
        <f t="shared" si="42"/>
        <v>0</v>
      </c>
      <c r="AD47" s="1056"/>
      <c r="AE47" s="154">
        <f t="shared" si="45"/>
        <v>0</v>
      </c>
      <c r="AF47" s="1071"/>
      <c r="AG47" s="1041"/>
      <c r="AH47" s="1042"/>
      <c r="AI47" s="913">
        <f t="shared" si="16"/>
        <v>0</v>
      </c>
      <c r="AJ47" s="1042"/>
      <c r="AK47" s="438">
        <f t="shared" si="43"/>
        <v>0</v>
      </c>
      <c r="AL47" s="462"/>
      <c r="AM47" s="462"/>
      <c r="AN47" s="1054"/>
      <c r="AO47" s="1042"/>
      <c r="AP47" s="462"/>
      <c r="AQ47" s="1052">
        <f t="shared" si="44"/>
        <v>0</v>
      </c>
      <c r="AR47" s="1052">
        <f t="shared" si="46"/>
        <v>0</v>
      </c>
      <c r="AS47" s="1058"/>
      <c r="AT47" s="1052">
        <f t="shared" si="47"/>
        <v>0</v>
      </c>
      <c r="AU47" s="1052">
        <f t="shared" si="48"/>
        <v>0</v>
      </c>
      <c r="AV47" s="460"/>
      <c r="AW47" s="1040"/>
      <c r="AX47" s="1041"/>
    </row>
    <row r="48" spans="1:51" ht="15.75" x14ac:dyDescent="0.3">
      <c r="A48" s="496">
        <v>32</v>
      </c>
      <c r="B48" s="462"/>
      <c r="C48" s="462"/>
      <c r="D48" s="462"/>
      <c r="E48" s="462"/>
      <c r="F48" s="1054"/>
      <c r="G48" s="843"/>
      <c r="H48" s="839"/>
      <c r="I48" s="1040"/>
      <c r="J48" s="1040"/>
      <c r="K48" s="1040"/>
      <c r="L48" s="1041"/>
      <c r="M48" s="1042"/>
      <c r="N48" s="1040"/>
      <c r="O48" s="1040"/>
      <c r="P48" s="1041"/>
      <c r="Q48" s="846"/>
      <c r="R48" s="839"/>
      <c r="S48" s="1040"/>
      <c r="T48" s="1040"/>
      <c r="U48" s="1040"/>
      <c r="V48" s="1054"/>
      <c r="W48" s="1048">
        <f t="shared" si="37"/>
        <v>0</v>
      </c>
      <c r="X48" s="1040"/>
      <c r="Y48" s="438">
        <f t="shared" si="38"/>
        <v>0</v>
      </c>
      <c r="Z48" s="913">
        <f t="shared" si="39"/>
        <v>0</v>
      </c>
      <c r="AA48" s="1055">
        <f t="shared" si="40"/>
        <v>0</v>
      </c>
      <c r="AB48" s="440">
        <f t="shared" si="41"/>
        <v>0</v>
      </c>
      <c r="AC48" s="440">
        <f t="shared" si="42"/>
        <v>0</v>
      </c>
      <c r="AD48" s="1056"/>
      <c r="AE48" s="154">
        <f t="shared" si="45"/>
        <v>0</v>
      </c>
      <c r="AF48" s="1071"/>
      <c r="AG48" s="1041"/>
      <c r="AH48" s="1042"/>
      <c r="AI48" s="913">
        <f t="shared" si="16"/>
        <v>0</v>
      </c>
      <c r="AJ48" s="1042"/>
      <c r="AK48" s="438">
        <f t="shared" si="43"/>
        <v>0</v>
      </c>
      <c r="AL48" s="462"/>
      <c r="AM48" s="462"/>
      <c r="AN48" s="1054"/>
      <c r="AO48" s="1042"/>
      <c r="AP48" s="462"/>
      <c r="AQ48" s="1052">
        <f t="shared" si="44"/>
        <v>0</v>
      </c>
      <c r="AR48" s="1052">
        <f t="shared" si="46"/>
        <v>0</v>
      </c>
      <c r="AS48" s="1058"/>
      <c r="AT48" s="1052">
        <f t="shared" si="47"/>
        <v>0</v>
      </c>
      <c r="AU48" s="1052">
        <f t="shared" si="48"/>
        <v>0</v>
      </c>
      <c r="AV48" s="460"/>
      <c r="AW48" s="1040"/>
      <c r="AX48" s="1041"/>
    </row>
    <row r="49" spans="1:50" ht="15.75" x14ac:dyDescent="0.3">
      <c r="A49" s="496">
        <v>33</v>
      </c>
      <c r="B49" s="462"/>
      <c r="C49" s="462"/>
      <c r="D49" s="462"/>
      <c r="E49" s="462"/>
      <c r="F49" s="1054"/>
      <c r="G49" s="843"/>
      <c r="H49" s="839"/>
      <c r="I49" s="1040"/>
      <c r="J49" s="1040"/>
      <c r="K49" s="1040"/>
      <c r="L49" s="1041"/>
      <c r="M49" s="1042"/>
      <c r="N49" s="1040"/>
      <c r="O49" s="1040"/>
      <c r="P49" s="1041"/>
      <c r="Q49" s="846"/>
      <c r="R49" s="839"/>
      <c r="S49" s="1040"/>
      <c r="T49" s="1040"/>
      <c r="U49" s="1040"/>
      <c r="V49" s="1054"/>
      <c r="W49" s="1048">
        <f t="shared" si="37"/>
        <v>0</v>
      </c>
      <c r="X49" s="1040"/>
      <c r="Y49" s="438">
        <f t="shared" si="38"/>
        <v>0</v>
      </c>
      <c r="Z49" s="913">
        <f t="shared" si="39"/>
        <v>0</v>
      </c>
      <c r="AA49" s="1055">
        <f t="shared" si="40"/>
        <v>0</v>
      </c>
      <c r="AB49" s="440">
        <f t="shared" si="41"/>
        <v>0</v>
      </c>
      <c r="AC49" s="440">
        <f t="shared" si="42"/>
        <v>0</v>
      </c>
      <c r="AD49" s="1056"/>
      <c r="AE49" s="154">
        <f t="shared" si="45"/>
        <v>0</v>
      </c>
      <c r="AF49" s="1071"/>
      <c r="AG49" s="1041"/>
      <c r="AH49" s="1042"/>
      <c r="AI49" s="913">
        <f t="shared" si="16"/>
        <v>0</v>
      </c>
      <c r="AJ49" s="1042"/>
      <c r="AK49" s="438">
        <f t="shared" si="43"/>
        <v>0</v>
      </c>
      <c r="AL49" s="462"/>
      <c r="AM49" s="462"/>
      <c r="AN49" s="1054"/>
      <c r="AO49" s="1042"/>
      <c r="AP49" s="462"/>
      <c r="AQ49" s="1052">
        <f t="shared" si="44"/>
        <v>0</v>
      </c>
      <c r="AR49" s="1052">
        <f t="shared" si="46"/>
        <v>0</v>
      </c>
      <c r="AS49" s="1058"/>
      <c r="AT49" s="1052">
        <f t="shared" si="47"/>
        <v>0</v>
      </c>
      <c r="AU49" s="1052">
        <f t="shared" si="48"/>
        <v>0</v>
      </c>
      <c r="AV49" s="460"/>
      <c r="AW49" s="1040"/>
      <c r="AX49" s="1041"/>
    </row>
    <row r="50" spans="1:50" ht="15.75" x14ac:dyDescent="0.3">
      <c r="A50" s="496">
        <v>34</v>
      </c>
      <c r="B50" s="1040"/>
      <c r="C50" s="1040"/>
      <c r="D50" s="1040"/>
      <c r="E50" s="1040"/>
      <c r="F50" s="1041"/>
      <c r="G50" s="846"/>
      <c r="H50" s="1042"/>
      <c r="I50" s="1040"/>
      <c r="J50" s="1040"/>
      <c r="K50" s="1040"/>
      <c r="L50" s="1041"/>
      <c r="M50" s="1042"/>
      <c r="N50" s="1040"/>
      <c r="O50" s="1040"/>
      <c r="P50" s="1041"/>
      <c r="Q50" s="846"/>
      <c r="R50" s="839"/>
      <c r="S50" s="1040"/>
      <c r="T50" s="1040"/>
      <c r="U50" s="1040"/>
      <c r="V50" s="1054"/>
      <c r="W50" s="1048">
        <f t="shared" si="37"/>
        <v>0</v>
      </c>
      <c r="X50" s="1040"/>
      <c r="Y50" s="438">
        <f t="shared" si="38"/>
        <v>0</v>
      </c>
      <c r="Z50" s="913">
        <f t="shared" si="39"/>
        <v>0</v>
      </c>
      <c r="AA50" s="1055">
        <f t="shared" si="40"/>
        <v>0</v>
      </c>
      <c r="AB50" s="440">
        <f t="shared" si="41"/>
        <v>0</v>
      </c>
      <c r="AC50" s="440">
        <f t="shared" si="42"/>
        <v>0</v>
      </c>
      <c r="AD50" s="1056"/>
      <c r="AE50" s="154">
        <f t="shared" si="45"/>
        <v>0</v>
      </c>
      <c r="AF50" s="1071"/>
      <c r="AG50" s="1041"/>
      <c r="AH50" s="1042"/>
      <c r="AI50" s="913">
        <f t="shared" si="16"/>
        <v>0</v>
      </c>
      <c r="AJ50" s="1042"/>
      <c r="AK50" s="438">
        <f t="shared" si="43"/>
        <v>0</v>
      </c>
      <c r="AL50" s="462"/>
      <c r="AM50" s="462"/>
      <c r="AN50" s="1054"/>
      <c r="AO50" s="1042"/>
      <c r="AP50" s="462"/>
      <c r="AQ50" s="1052">
        <f t="shared" si="44"/>
        <v>0</v>
      </c>
      <c r="AR50" s="1052">
        <f t="shared" si="46"/>
        <v>0</v>
      </c>
      <c r="AS50" s="1058"/>
      <c r="AT50" s="1052">
        <f t="shared" si="47"/>
        <v>0</v>
      </c>
      <c r="AU50" s="1052">
        <f t="shared" si="48"/>
        <v>0</v>
      </c>
      <c r="AV50" s="460"/>
      <c r="AW50" s="1040"/>
      <c r="AX50" s="1041"/>
    </row>
    <row r="51" spans="1:50" ht="15.75" x14ac:dyDescent="0.3">
      <c r="A51" s="496">
        <v>35</v>
      </c>
      <c r="B51" s="462"/>
      <c r="C51" s="462"/>
      <c r="D51" s="462"/>
      <c r="E51" s="462"/>
      <c r="F51" s="1054"/>
      <c r="G51" s="843"/>
      <c r="H51" s="839"/>
      <c r="I51" s="1040"/>
      <c r="J51" s="1040"/>
      <c r="K51" s="1040"/>
      <c r="L51" s="1041"/>
      <c r="M51" s="1042"/>
      <c r="N51" s="1040"/>
      <c r="O51" s="1040"/>
      <c r="P51" s="1041"/>
      <c r="Q51" s="846"/>
      <c r="R51" s="839"/>
      <c r="S51" s="1040"/>
      <c r="T51" s="1040"/>
      <c r="U51" s="1040"/>
      <c r="V51" s="1054"/>
      <c r="W51" s="1048">
        <f t="shared" si="37"/>
        <v>0</v>
      </c>
      <c r="X51" s="1040"/>
      <c r="Y51" s="438">
        <f t="shared" si="38"/>
        <v>0</v>
      </c>
      <c r="Z51" s="913">
        <f t="shared" si="39"/>
        <v>0</v>
      </c>
      <c r="AA51" s="1055">
        <f t="shared" si="40"/>
        <v>0</v>
      </c>
      <c r="AB51" s="440">
        <f t="shared" si="41"/>
        <v>0</v>
      </c>
      <c r="AC51" s="440">
        <f t="shared" si="42"/>
        <v>0</v>
      </c>
      <c r="AD51" s="1056"/>
      <c r="AE51" s="154">
        <f t="shared" si="45"/>
        <v>0</v>
      </c>
      <c r="AF51" s="1071"/>
      <c r="AG51" s="1041"/>
      <c r="AH51" s="1042"/>
      <c r="AI51" s="913">
        <f t="shared" si="16"/>
        <v>0</v>
      </c>
      <c r="AJ51" s="1042"/>
      <c r="AK51" s="438">
        <f t="shared" si="43"/>
        <v>0</v>
      </c>
      <c r="AL51" s="462"/>
      <c r="AM51" s="462"/>
      <c r="AN51" s="1054"/>
      <c r="AO51" s="1042"/>
      <c r="AP51" s="462"/>
      <c r="AQ51" s="1052">
        <f t="shared" si="44"/>
        <v>0</v>
      </c>
      <c r="AR51" s="1052">
        <f t="shared" si="46"/>
        <v>0</v>
      </c>
      <c r="AS51" s="1058"/>
      <c r="AT51" s="1052">
        <f t="shared" si="47"/>
        <v>0</v>
      </c>
      <c r="AU51" s="1052">
        <f t="shared" si="48"/>
        <v>0</v>
      </c>
      <c r="AV51" s="460"/>
      <c r="AW51" s="1040"/>
      <c r="AX51" s="1041"/>
    </row>
    <row r="52" spans="1:50" ht="15.75" x14ac:dyDescent="0.3">
      <c r="A52" s="496">
        <v>36</v>
      </c>
      <c r="B52" s="1059"/>
      <c r="C52" s="1059"/>
      <c r="D52" s="1059"/>
      <c r="E52" s="1059"/>
      <c r="F52" s="1060"/>
      <c r="G52" s="1061"/>
      <c r="H52" s="1062"/>
      <c r="I52" s="462"/>
      <c r="J52" s="1040"/>
      <c r="K52" s="1063"/>
      <c r="L52" s="1041"/>
      <c r="M52" s="1064"/>
      <c r="N52" s="1063"/>
      <c r="O52" s="1063"/>
      <c r="P52" s="1065"/>
      <c r="Q52" s="1066"/>
      <c r="R52" s="839"/>
      <c r="S52" s="462"/>
      <c r="T52" s="462"/>
      <c r="U52" s="462"/>
      <c r="V52" s="1054"/>
      <c r="W52" s="1048">
        <f t="shared" si="37"/>
        <v>0</v>
      </c>
      <c r="X52" s="1040"/>
      <c r="Y52" s="438">
        <f t="shared" si="38"/>
        <v>0</v>
      </c>
      <c r="Z52" s="913">
        <f t="shared" si="39"/>
        <v>0</v>
      </c>
      <c r="AA52" s="1055">
        <f t="shared" si="40"/>
        <v>0</v>
      </c>
      <c r="AB52" s="440">
        <f t="shared" si="41"/>
        <v>0</v>
      </c>
      <c r="AC52" s="440">
        <f t="shared" si="42"/>
        <v>0</v>
      </c>
      <c r="AD52" s="1056"/>
      <c r="AE52" s="154">
        <f t="shared" si="45"/>
        <v>0</v>
      </c>
      <c r="AF52" s="1072"/>
      <c r="AG52" s="1065"/>
      <c r="AH52" s="839"/>
      <c r="AI52" s="913">
        <f t="shared" si="16"/>
        <v>0</v>
      </c>
      <c r="AJ52" s="839"/>
      <c r="AK52" s="438">
        <f t="shared" si="43"/>
        <v>0</v>
      </c>
      <c r="AL52" s="462"/>
      <c r="AM52" s="462"/>
      <c r="AN52" s="1054"/>
      <c r="AO52" s="1042"/>
      <c r="AP52" s="1059"/>
      <c r="AQ52" s="1052">
        <f t="shared" si="44"/>
        <v>0</v>
      </c>
      <c r="AR52" s="1052">
        <f t="shared" si="46"/>
        <v>0</v>
      </c>
      <c r="AS52" s="1068"/>
      <c r="AT52" s="1052">
        <f t="shared" si="47"/>
        <v>0</v>
      </c>
      <c r="AU52" s="1052">
        <f t="shared" si="48"/>
        <v>0</v>
      </c>
      <c r="AV52" s="1069"/>
      <c r="AW52" s="1063"/>
      <c r="AX52" s="1065"/>
    </row>
    <row r="53" spans="1:50" ht="16.5" thickBot="1" x14ac:dyDescent="0.35">
      <c r="A53" s="511" t="s">
        <v>573</v>
      </c>
      <c r="B53" s="1073"/>
      <c r="C53" s="1059"/>
      <c r="D53" s="1059"/>
      <c r="E53" s="1059"/>
      <c r="F53" s="1060"/>
      <c r="G53" s="1061"/>
      <c r="H53" s="1062"/>
      <c r="I53" s="1063"/>
      <c r="J53" s="1063"/>
      <c r="K53" s="1073"/>
      <c r="L53" s="1065"/>
      <c r="M53" s="1074"/>
      <c r="N53" s="1059"/>
      <c r="O53" s="1059"/>
      <c r="P53" s="1060"/>
      <c r="Q53" s="1061"/>
      <c r="R53" s="1062"/>
      <c r="S53" s="1063"/>
      <c r="T53" s="1063"/>
      <c r="U53" s="1063"/>
      <c r="V53" s="1075"/>
      <c r="W53" s="1076">
        <f t="shared" si="37"/>
        <v>0</v>
      </c>
      <c r="X53" s="1063"/>
      <c r="Y53" s="1077">
        <f t="shared" si="38"/>
        <v>0</v>
      </c>
      <c r="Z53" s="1078">
        <f t="shared" si="39"/>
        <v>0</v>
      </c>
      <c r="AA53" s="1079">
        <f t="shared" si="40"/>
        <v>0</v>
      </c>
      <c r="AB53" s="1080">
        <f t="shared" si="41"/>
        <v>0</v>
      </c>
      <c r="AC53" s="1081">
        <f>IF(AA53&gt;0,0.7*T$8*W$4/W$6*720*8/8760,0)</f>
        <v>0</v>
      </c>
      <c r="AD53" s="1082"/>
      <c r="AE53" s="1083">
        <f t="shared" si="45"/>
        <v>0</v>
      </c>
      <c r="AF53" s="1084"/>
      <c r="AG53" s="1075"/>
      <c r="AH53" s="1064"/>
      <c r="AI53" s="1085">
        <f t="shared" si="16"/>
        <v>0</v>
      </c>
      <c r="AJ53" s="1064"/>
      <c r="AK53" s="438">
        <f t="shared" si="43"/>
        <v>0</v>
      </c>
      <c r="AL53" s="1063"/>
      <c r="AM53" s="1063"/>
      <c r="AN53" s="1065"/>
      <c r="AO53" s="1042"/>
      <c r="AP53" s="1073"/>
      <c r="AQ53" s="1086">
        <f t="shared" si="44"/>
        <v>0</v>
      </c>
      <c r="AR53" s="1086">
        <f t="shared" si="46"/>
        <v>0</v>
      </c>
      <c r="AS53" s="1087"/>
      <c r="AT53" s="1083">
        <f t="shared" si="47"/>
        <v>0</v>
      </c>
      <c r="AU53" s="1083">
        <f t="shared" si="48"/>
        <v>0</v>
      </c>
      <c r="AV53" s="1088"/>
      <c r="AW53" s="1073"/>
      <c r="AX53" s="1075"/>
    </row>
    <row r="54" spans="1:50" s="130" customFormat="1" ht="16.5" thickBot="1" x14ac:dyDescent="0.35">
      <c r="A54" s="517" t="s">
        <v>576</v>
      </c>
      <c r="B54" s="596">
        <f>IF(B53&gt;0,B53,SUM(B41:B52))</f>
        <v>0</v>
      </c>
      <c r="C54" s="596">
        <f t="shared" ref="C54:V54" si="49">IF(C53&gt;0,C53,SUM(C41:C52))</f>
        <v>0</v>
      </c>
      <c r="D54" s="596">
        <f t="shared" si="49"/>
        <v>0</v>
      </c>
      <c r="E54" s="596">
        <f t="shared" si="49"/>
        <v>0</v>
      </c>
      <c r="F54" s="599">
        <f t="shared" si="49"/>
        <v>0</v>
      </c>
      <c r="G54" s="599">
        <f t="shared" si="49"/>
        <v>0</v>
      </c>
      <c r="H54" s="598">
        <f t="shared" si="49"/>
        <v>0</v>
      </c>
      <c r="I54" s="596">
        <f t="shared" si="49"/>
        <v>0</v>
      </c>
      <c r="J54" s="596">
        <f t="shared" si="49"/>
        <v>0</v>
      </c>
      <c r="K54" s="596">
        <f t="shared" si="49"/>
        <v>0</v>
      </c>
      <c r="L54" s="599">
        <f t="shared" si="49"/>
        <v>0</v>
      </c>
      <c r="M54" s="598">
        <f>IF(M53&gt;0,M53,SUM(M41:M52))</f>
        <v>0</v>
      </c>
      <c r="N54" s="596">
        <f>IF(N53&gt;0,N53,SUM(N41:N52))</f>
        <v>0</v>
      </c>
      <c r="O54" s="596">
        <f>IF(O53&gt;0,O53,SUM(O41:O52))</f>
        <v>0</v>
      </c>
      <c r="P54" s="599">
        <f>IF(P53&gt;0,P53,SUM(P41:P52))</f>
        <v>0</v>
      </c>
      <c r="Q54" s="600">
        <f t="shared" si="49"/>
        <v>0</v>
      </c>
      <c r="R54" s="598">
        <f t="shared" si="49"/>
        <v>0</v>
      </c>
      <c r="S54" s="596">
        <f t="shared" si="49"/>
        <v>0</v>
      </c>
      <c r="T54" s="596">
        <f t="shared" si="49"/>
        <v>0</v>
      </c>
      <c r="U54" s="596">
        <f t="shared" si="49"/>
        <v>0</v>
      </c>
      <c r="V54" s="599">
        <f t="shared" si="49"/>
        <v>0</v>
      </c>
      <c r="W54" s="598">
        <f t="shared" ref="W54:AC54" si="50">IF(W53&gt;0,W53,SUM(W41:W52))</f>
        <v>0</v>
      </c>
      <c r="X54" s="596">
        <f t="shared" si="50"/>
        <v>0</v>
      </c>
      <c r="Y54" s="596">
        <f t="shared" si="50"/>
        <v>0</v>
      </c>
      <c r="Z54" s="599">
        <f t="shared" si="50"/>
        <v>0</v>
      </c>
      <c r="AA54" s="612">
        <f t="shared" si="50"/>
        <v>0</v>
      </c>
      <c r="AB54" s="613">
        <f t="shared" si="50"/>
        <v>0</v>
      </c>
      <c r="AC54" s="596">
        <f t="shared" si="50"/>
        <v>0</v>
      </c>
      <c r="AD54" s="614" t="str">
        <f>IF(AD53&gt;0,AD53,"-")</f>
        <v>-</v>
      </c>
      <c r="AE54" s="615">
        <f t="shared" ref="AE54:AK54" si="51">IF(AE53&gt;0,AE53,SUM(AE41:AE52))</f>
        <v>0</v>
      </c>
      <c r="AF54" s="615">
        <f t="shared" si="51"/>
        <v>0</v>
      </c>
      <c r="AG54" s="597">
        <f t="shared" si="51"/>
        <v>0</v>
      </c>
      <c r="AH54" s="598">
        <f t="shared" si="51"/>
        <v>0</v>
      </c>
      <c r="AI54" s="600">
        <f t="shared" si="51"/>
        <v>0</v>
      </c>
      <c r="AJ54" s="604">
        <f t="shared" si="51"/>
        <v>0</v>
      </c>
      <c r="AK54" s="604">
        <f t="shared" si="51"/>
        <v>0</v>
      </c>
      <c r="AL54" s="605">
        <f t="shared" ref="AL54:AR54" si="52">IF(AL53&gt;0,AL53,SUM(AL41:AL52))</f>
        <v>0</v>
      </c>
      <c r="AM54" s="605">
        <f t="shared" si="52"/>
        <v>0</v>
      </c>
      <c r="AN54" s="606">
        <f t="shared" si="52"/>
        <v>0</v>
      </c>
      <c r="AO54" s="604">
        <f t="shared" si="52"/>
        <v>0</v>
      </c>
      <c r="AP54" s="607">
        <f t="shared" si="52"/>
        <v>0</v>
      </c>
      <c r="AQ54" s="607">
        <f t="shared" si="52"/>
        <v>0</v>
      </c>
      <c r="AR54" s="607">
        <f t="shared" si="52"/>
        <v>0</v>
      </c>
      <c r="AS54" s="616" t="str">
        <f>IF(AS53&gt;0,AS53,"-")</f>
        <v>-</v>
      </c>
      <c r="AT54" s="609">
        <f>IF(AT53&gt;0,AT53,SUM(AT41:AT52))</f>
        <v>0</v>
      </c>
      <c r="AU54" s="609">
        <f>IF(AU53&gt;0,AU53,SUM(AU41:AU52))</f>
        <v>0</v>
      </c>
      <c r="AV54" s="610">
        <f>IF(AV53&gt;0,AV53,SUM(AV41:AV52))</f>
        <v>0</v>
      </c>
      <c r="AW54" s="610">
        <f>IF(AW53&gt;0,AW53,SUM(AW41:AW52))</f>
        <v>0</v>
      </c>
      <c r="AX54" s="611">
        <f>IF(AX53&gt;0,AX53,SUM(AX41:AX52))</f>
        <v>0</v>
      </c>
    </row>
    <row r="55" spans="1:50" ht="10.5" customHeight="1" x14ac:dyDescent="0.25"/>
    <row r="56" spans="1:50" ht="15.75" x14ac:dyDescent="0.3">
      <c r="Z56" s="1089" t="s">
        <v>577</v>
      </c>
    </row>
    <row r="57" spans="1:50" ht="15.75" x14ac:dyDescent="0.3">
      <c r="Z57" s="831" t="s">
        <v>578</v>
      </c>
    </row>
    <row r="58" spans="1:50" ht="15.75" x14ac:dyDescent="0.3">
      <c r="Z58" s="831" t="s">
        <v>579</v>
      </c>
    </row>
    <row r="59" spans="1:50" ht="15.75" x14ac:dyDescent="0.3">
      <c r="Z59" s="831" t="s">
        <v>580</v>
      </c>
    </row>
    <row r="60" spans="1:50" ht="15.75" x14ac:dyDescent="0.3">
      <c r="Z60" s="831" t="s">
        <v>581</v>
      </c>
    </row>
    <row r="61" spans="1:50" ht="15.75" x14ac:dyDescent="0.3">
      <c r="Z61" s="831" t="s">
        <v>582</v>
      </c>
    </row>
    <row r="62" spans="1:50" ht="15.75" x14ac:dyDescent="0.3">
      <c r="Z62" s="831" t="s">
        <v>583</v>
      </c>
    </row>
    <row r="63" spans="1:50" ht="15.75" x14ac:dyDescent="0.3">
      <c r="Z63" s="831" t="s">
        <v>584</v>
      </c>
      <c r="AF63" s="16" t="s">
        <v>585</v>
      </c>
    </row>
    <row r="64" spans="1:50" ht="15.75" x14ac:dyDescent="0.3">
      <c r="AF64" s="831" t="s">
        <v>586</v>
      </c>
    </row>
    <row r="65" spans="32:32" ht="15.75" x14ac:dyDescent="0.3">
      <c r="AF65" s="831" t="s">
        <v>587</v>
      </c>
    </row>
    <row r="66" spans="32:32" ht="15.75" x14ac:dyDescent="0.3">
      <c r="AF66" s="831" t="s">
        <v>588</v>
      </c>
    </row>
    <row r="67" spans="32:32" ht="15.75" x14ac:dyDescent="0.3">
      <c r="AF67" s="831" t="s">
        <v>589</v>
      </c>
    </row>
    <row r="68" spans="32:32" ht="15.75" x14ac:dyDescent="0.3">
      <c r="AF68" s="831" t="s">
        <v>590</v>
      </c>
    </row>
    <row r="69" spans="32:32" ht="15.75" x14ac:dyDescent="0.3">
      <c r="AF69" s="831" t="s">
        <v>591</v>
      </c>
    </row>
    <row r="70" spans="32:32" ht="15.75" x14ac:dyDescent="0.3">
      <c r="AF70" s="831" t="s">
        <v>592</v>
      </c>
    </row>
  </sheetData>
  <sheetProtection algorithmName="SHA-512" hashValue="ABJhooUwR7U66eEcUT4YJske09f44cWvJg4HBbaE34HRXXHBNnDI72BXFy1Y0Vy4tPf8VBWulbmXaAVT7reA2A==" saltValue="gbP23zYauvhFIP4qGLLtzA==" spinCount="100000" sheet="1" autoFilter="0"/>
  <mergeCells count="10">
    <mergeCell ref="AD2:AD3"/>
    <mergeCell ref="I5:L5"/>
    <mergeCell ref="I7:L7"/>
    <mergeCell ref="I8:L8"/>
    <mergeCell ref="I6:L6"/>
    <mergeCell ref="AF2:AF3"/>
    <mergeCell ref="AG2:AG3"/>
    <mergeCell ref="AI2:AI3"/>
    <mergeCell ref="AH2:AH3"/>
    <mergeCell ref="AE2:AE3"/>
  </mergeCells>
  <pageMargins left="0.70866141732283472" right="0.70866141732283472" top="0.52" bottom="0.42" header="0.31496062992125984" footer="0.31496062992125984"/>
  <pageSetup paperSize="9" scale="46"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9">
    <pageSetUpPr fitToPage="1"/>
  </sheetPr>
  <dimension ref="B1:AR89"/>
  <sheetViews>
    <sheetView topLeftCell="A7" zoomScale="70" zoomScaleNormal="70" workbookViewId="0">
      <selection activeCell="I70" sqref="I70:K70"/>
    </sheetView>
  </sheetViews>
  <sheetFormatPr defaultColWidth="8.7109375" defaultRowHeight="15" x14ac:dyDescent="0.25"/>
  <cols>
    <col min="1" max="1" width="1.5703125" style="16" customWidth="1"/>
    <col min="2" max="2" width="27.7109375" style="16" customWidth="1"/>
    <col min="3" max="3" width="14.85546875" style="16" customWidth="1"/>
    <col min="4" max="4" width="17.7109375" style="16" customWidth="1"/>
    <col min="5" max="5" width="14.7109375" style="16" customWidth="1"/>
    <col min="6" max="6" width="15.42578125" style="16" customWidth="1"/>
    <col min="7" max="7" width="0.5703125" style="16" customWidth="1"/>
    <col min="8" max="8" width="17.5703125" style="16" customWidth="1"/>
    <col min="9" max="9" width="16.140625" style="16" customWidth="1"/>
    <col min="10" max="10" width="14.42578125" style="16" customWidth="1"/>
    <col min="11" max="11" width="37.28515625" style="16" customWidth="1"/>
    <col min="12" max="12" width="55.28515625" style="16" customWidth="1"/>
    <col min="13" max="13" width="23.42578125" style="16" customWidth="1"/>
    <col min="14" max="14" width="1.28515625" style="16" customWidth="1"/>
    <col min="15" max="16384" width="8.7109375" style="16"/>
  </cols>
  <sheetData>
    <row r="1" spans="2:13" ht="9" customHeight="1" x14ac:dyDescent="0.25"/>
    <row r="2" spans="2:13" ht="21" x14ac:dyDescent="0.35">
      <c r="C2" s="463" t="s">
        <v>593</v>
      </c>
      <c r="E2" s="130"/>
      <c r="F2" s="130"/>
      <c r="G2" s="130"/>
    </row>
    <row r="3" spans="2:13" ht="15.75" x14ac:dyDescent="0.3">
      <c r="C3" s="130" t="s">
        <v>594</v>
      </c>
      <c r="D3" s="131"/>
    </row>
    <row r="4" spans="2:13" ht="15.75" x14ac:dyDescent="0.3">
      <c r="B4" s="131"/>
      <c r="C4" s="464" t="s">
        <v>431</v>
      </c>
      <c r="D4" s="1388">
        <f>'A. Byggnadsinfo med BBR'!C9</f>
        <v>0</v>
      </c>
      <c r="E4" s="1389"/>
      <c r="F4" s="1275"/>
      <c r="G4" s="637"/>
      <c r="L4" s="131"/>
      <c r="M4" s="131"/>
    </row>
    <row r="5" spans="2:13" ht="19.5" x14ac:dyDescent="0.35">
      <c r="B5" s="14" t="s">
        <v>447</v>
      </c>
      <c r="C5" s="131"/>
      <c r="D5" s="131"/>
      <c r="E5" s="131"/>
      <c r="F5" s="131"/>
      <c r="G5" s="131"/>
      <c r="I5" s="131"/>
      <c r="J5" s="131"/>
      <c r="K5" s="131"/>
      <c r="M5" s="204"/>
    </row>
    <row r="6" spans="2:13" ht="15.75" x14ac:dyDescent="0.3">
      <c r="B6" s="130" t="s">
        <v>595</v>
      </c>
      <c r="C6" s="131"/>
      <c r="D6" s="131"/>
      <c r="E6" s="131"/>
      <c r="F6" s="131"/>
      <c r="G6" s="131"/>
      <c r="H6" s="131"/>
      <c r="J6" s="131"/>
      <c r="K6" s="131"/>
      <c r="M6" s="131"/>
    </row>
    <row r="7" spans="2:13" ht="2.25" customHeight="1" thickBot="1" x14ac:dyDescent="0.35">
      <c r="B7" s="131"/>
      <c r="C7" s="131"/>
      <c r="D7" s="131"/>
      <c r="E7" s="131"/>
      <c r="F7" s="131"/>
      <c r="G7" s="131"/>
      <c r="H7" s="131"/>
      <c r="J7" s="131"/>
      <c r="K7" s="131"/>
      <c r="M7" s="131"/>
    </row>
    <row r="8" spans="2:13" ht="15.75" x14ac:dyDescent="0.3">
      <c r="B8" s="1324" t="s">
        <v>481</v>
      </c>
      <c r="C8" s="1376" t="s">
        <v>482</v>
      </c>
      <c r="D8" s="1353" t="s">
        <v>483</v>
      </c>
      <c r="E8" s="1353" t="s">
        <v>484</v>
      </c>
      <c r="F8" s="1353" t="s">
        <v>485</v>
      </c>
      <c r="G8" s="131"/>
      <c r="H8" s="1326" t="s">
        <v>596</v>
      </c>
      <c r="I8" s="1329" t="s">
        <v>102</v>
      </c>
      <c r="J8" s="1330"/>
      <c r="K8" s="1331"/>
    </row>
    <row r="9" spans="2:13" ht="15" customHeight="1" thickBot="1" x14ac:dyDescent="0.35">
      <c r="B9" s="1375"/>
      <c r="C9" s="1348"/>
      <c r="D9" s="1348"/>
      <c r="E9" s="1348"/>
      <c r="F9" s="1348"/>
      <c r="G9" s="131"/>
      <c r="H9" s="1327"/>
      <c r="I9" s="1332"/>
      <c r="J9" s="1333"/>
      <c r="K9" s="1334"/>
    </row>
    <row r="10" spans="2:13" ht="18.75" x14ac:dyDescent="0.35">
      <c r="B10" s="492" t="s">
        <v>455</v>
      </c>
      <c r="C10" s="527" t="s">
        <v>495</v>
      </c>
      <c r="D10" s="618"/>
      <c r="E10" s="618"/>
      <c r="F10" s="638">
        <f>E10-D10</f>
        <v>0</v>
      </c>
      <c r="G10" s="131"/>
      <c r="H10" s="527" t="s">
        <v>597</v>
      </c>
      <c r="I10" s="1335"/>
      <c r="J10" s="1335"/>
      <c r="K10" s="1336"/>
    </row>
    <row r="11" spans="2:13" ht="15.75" x14ac:dyDescent="0.3">
      <c r="B11" s="493" t="s">
        <v>491</v>
      </c>
      <c r="C11" s="639" t="s">
        <v>419</v>
      </c>
      <c r="D11" s="678"/>
      <c r="E11" s="678"/>
      <c r="F11" s="640">
        <f t="shared" ref="F11:F18" si="0">E11-D11</f>
        <v>0</v>
      </c>
      <c r="G11" s="131"/>
      <c r="H11" s="639" t="s">
        <v>598</v>
      </c>
      <c r="I11" s="1337"/>
      <c r="J11" s="1337"/>
      <c r="K11" s="1338"/>
    </row>
    <row r="12" spans="2:13" ht="15.75" x14ac:dyDescent="0.3">
      <c r="B12" s="493" t="s">
        <v>599</v>
      </c>
      <c r="C12" s="639" t="s">
        <v>419</v>
      </c>
      <c r="D12" s="678"/>
      <c r="E12" s="678"/>
      <c r="F12" s="640">
        <f t="shared" si="0"/>
        <v>0</v>
      </c>
      <c r="G12" s="131"/>
      <c r="H12" s="639" t="s">
        <v>598</v>
      </c>
      <c r="I12" s="1339"/>
      <c r="J12" s="1339"/>
      <c r="K12" s="1338"/>
    </row>
    <row r="13" spans="2:13" ht="15.75" x14ac:dyDescent="0.3">
      <c r="B13" s="493" t="s">
        <v>600</v>
      </c>
      <c r="C13" s="639" t="s">
        <v>601</v>
      </c>
      <c r="D13" s="678"/>
      <c r="E13" s="678"/>
      <c r="F13" s="640">
        <f t="shared" si="0"/>
        <v>0</v>
      </c>
      <c r="G13" s="131"/>
      <c r="H13" s="639"/>
      <c r="I13" s="1337"/>
      <c r="J13" s="1337"/>
      <c r="K13" s="1338"/>
    </row>
    <row r="14" spans="2:13" ht="15.75" x14ac:dyDescent="0.3">
      <c r="B14" s="493" t="s">
        <v>602</v>
      </c>
      <c r="C14" s="639" t="s">
        <v>601</v>
      </c>
      <c r="D14" s="678"/>
      <c r="E14" s="678"/>
      <c r="F14" s="640">
        <f t="shared" si="0"/>
        <v>0</v>
      </c>
      <c r="G14" s="131"/>
      <c r="H14" s="639"/>
      <c r="I14" s="1337"/>
      <c r="J14" s="1337"/>
      <c r="K14" s="1338"/>
    </row>
    <row r="15" spans="2:13" ht="18.75" x14ac:dyDescent="0.35">
      <c r="B15" s="493" t="s">
        <v>603</v>
      </c>
      <c r="C15" s="639" t="s">
        <v>604</v>
      </c>
      <c r="D15" s="678"/>
      <c r="E15" s="678"/>
      <c r="F15" s="640">
        <f t="shared" si="0"/>
        <v>0</v>
      </c>
      <c r="G15" s="131"/>
      <c r="H15" s="639"/>
      <c r="I15" s="1337"/>
      <c r="J15" s="1337"/>
      <c r="K15" s="1338"/>
    </row>
    <row r="16" spans="2:13" ht="18.75" x14ac:dyDescent="0.35">
      <c r="B16" s="493" t="s">
        <v>605</v>
      </c>
      <c r="C16" s="639" t="s">
        <v>604</v>
      </c>
      <c r="D16" s="678"/>
      <c r="E16" s="678"/>
      <c r="F16" s="640">
        <f t="shared" si="0"/>
        <v>0</v>
      </c>
      <c r="G16" s="131"/>
      <c r="H16" s="639"/>
      <c r="I16" s="1337"/>
      <c r="J16" s="1337"/>
      <c r="K16" s="1338"/>
    </row>
    <row r="17" spans="2:11" ht="18.75" x14ac:dyDescent="0.35">
      <c r="B17" s="493" t="s">
        <v>494</v>
      </c>
      <c r="C17" s="641" t="s">
        <v>495</v>
      </c>
      <c r="D17" s="679"/>
      <c r="E17" s="679"/>
      <c r="F17" s="640">
        <f t="shared" si="0"/>
        <v>0</v>
      </c>
      <c r="G17" s="131"/>
      <c r="H17" s="639" t="s">
        <v>606</v>
      </c>
      <c r="I17" s="1337"/>
      <c r="J17" s="1337"/>
      <c r="K17" s="1338"/>
    </row>
    <row r="18" spans="2:11" ht="16.5" thickBot="1" x14ac:dyDescent="0.35">
      <c r="B18" s="642" t="s">
        <v>607</v>
      </c>
      <c r="C18" s="677"/>
      <c r="D18" s="619"/>
      <c r="E18" s="619"/>
      <c r="F18" s="643">
        <f t="shared" si="0"/>
        <v>0</v>
      </c>
      <c r="G18" s="131"/>
      <c r="H18" s="532"/>
      <c r="I18" s="1337"/>
      <c r="J18" s="1337"/>
      <c r="K18" s="1338"/>
    </row>
    <row r="19" spans="2:11" ht="6" customHeight="1" x14ac:dyDescent="0.3">
      <c r="G19" s="131"/>
    </row>
    <row r="20" spans="2:11" ht="15.75" x14ac:dyDescent="0.3">
      <c r="B20" s="130" t="s">
        <v>608</v>
      </c>
      <c r="G20" s="131"/>
    </row>
    <row r="21" spans="2:11" ht="3" customHeight="1" thickBot="1" x14ac:dyDescent="0.35">
      <c r="G21" s="131"/>
    </row>
    <row r="22" spans="2:11" ht="15.75" customHeight="1" x14ac:dyDescent="0.3">
      <c r="B22" s="1381" t="s">
        <v>609</v>
      </c>
      <c r="C22" s="1382"/>
      <c r="D22" s="1377" t="s">
        <v>610</v>
      </c>
      <c r="E22" s="1353" t="s">
        <v>611</v>
      </c>
      <c r="F22" s="1326" t="s">
        <v>612</v>
      </c>
      <c r="G22" s="131"/>
      <c r="H22" s="1379" t="str">
        <f>D22</f>
        <v>Beräknat enl. relationshandling</v>
      </c>
      <c r="I22" s="1326" t="str">
        <f>E22</f>
        <v>Beräknat för år 1</v>
      </c>
      <c r="J22" s="1324" t="s">
        <v>102</v>
      </c>
      <c r="K22" s="1325"/>
    </row>
    <row r="23" spans="2:11" ht="15.75" x14ac:dyDescent="0.3">
      <c r="B23" s="1383"/>
      <c r="C23" s="1384"/>
      <c r="D23" s="1378"/>
      <c r="E23" s="1354"/>
      <c r="F23" s="1352"/>
      <c r="G23" s="131"/>
      <c r="H23" s="1380"/>
      <c r="I23" s="1352"/>
      <c r="J23" s="1357"/>
      <c r="K23" s="1358"/>
    </row>
    <row r="24" spans="2:11" ht="17.25" thickBot="1" x14ac:dyDescent="0.35">
      <c r="B24" s="829"/>
      <c r="C24" s="566"/>
      <c r="D24" s="507" t="s">
        <v>252</v>
      </c>
      <c r="E24" s="486" t="s">
        <v>252</v>
      </c>
      <c r="F24" s="644" t="s">
        <v>297</v>
      </c>
      <c r="G24" s="131"/>
      <c r="H24" s="645" t="s">
        <v>613</v>
      </c>
      <c r="I24" s="646" t="s">
        <v>614</v>
      </c>
      <c r="J24" s="1359"/>
      <c r="K24" s="1360"/>
    </row>
    <row r="25" spans="2:11" ht="15.75" x14ac:dyDescent="0.3">
      <c r="B25" s="69"/>
      <c r="C25" s="654" t="s">
        <v>615</v>
      </c>
      <c r="D25" s="647">
        <f>'B1. Resultat beräkning'!F5-'B1. Resultat beräkning'!F6</f>
        <v>0</v>
      </c>
      <c r="E25" s="680"/>
      <c r="F25" s="648">
        <f t="shared" ref="F25:F31" si="1">IF(D25&gt;0,E25/D25,1)</f>
        <v>1</v>
      </c>
      <c r="G25" s="131"/>
      <c r="H25" s="727">
        <f>IFERROR(D25/'A. Byggnadsinfo med BBR'!$E$43,0)</f>
        <v>0</v>
      </c>
      <c r="I25" s="728">
        <f>IFERROR(E25/'A. Byggnadsinfo med BBR'!$E$43,0)</f>
        <v>0</v>
      </c>
      <c r="J25" s="1361"/>
      <c r="K25" s="1362"/>
    </row>
    <row r="26" spans="2:11" ht="15.75" x14ac:dyDescent="0.3">
      <c r="B26" s="69"/>
      <c r="C26" s="649" t="s">
        <v>455</v>
      </c>
      <c r="D26" s="650">
        <f>'B1. Resultat beräkning'!F11</f>
        <v>0</v>
      </c>
      <c r="E26" s="620"/>
      <c r="F26" s="651">
        <f t="shared" si="1"/>
        <v>1</v>
      </c>
      <c r="G26" s="131"/>
      <c r="H26" s="729">
        <f>IFERROR(D26/'A. Byggnadsinfo med BBR'!$E$43,0)</f>
        <v>0</v>
      </c>
      <c r="I26" s="730">
        <f>IFERROR(E26/'A. Byggnadsinfo med BBR'!$E$43,0)</f>
        <v>0</v>
      </c>
      <c r="J26" s="1363"/>
      <c r="K26" s="1344"/>
    </row>
    <row r="27" spans="2:11" ht="15.75" x14ac:dyDescent="0.3">
      <c r="B27" s="69"/>
      <c r="C27" s="649" t="s">
        <v>114</v>
      </c>
      <c r="D27" s="652">
        <f>'B1. Resultat beräkning'!F6</f>
        <v>0</v>
      </c>
      <c r="E27" s="620"/>
      <c r="F27" s="653">
        <f t="shared" si="1"/>
        <v>1</v>
      </c>
      <c r="G27" s="131"/>
      <c r="H27" s="731">
        <f>IFERROR(D27/'A. Byggnadsinfo med BBR'!$E$43,0)</f>
        <v>0</v>
      </c>
      <c r="I27" s="730">
        <f>IFERROR(E27/'A. Byggnadsinfo med BBR'!$E$43,0)</f>
        <v>0</v>
      </c>
      <c r="J27" s="1355"/>
      <c r="K27" s="1356"/>
    </row>
    <row r="28" spans="2:11" ht="15.75" x14ac:dyDescent="0.3">
      <c r="B28" s="69"/>
      <c r="C28" s="654" t="s">
        <v>616</v>
      </c>
      <c r="D28" s="655">
        <f>'B1. Resultat beräkning'!F12</f>
        <v>0</v>
      </c>
      <c r="E28" s="681"/>
      <c r="F28" s="653">
        <f t="shared" si="1"/>
        <v>1</v>
      </c>
      <c r="G28" s="131"/>
      <c r="H28" s="731">
        <f>IFERROR(D28/'A. Byggnadsinfo med BBR'!$E$43,0)</f>
        <v>0</v>
      </c>
      <c r="I28" s="730">
        <f>IFERROR(E28/'A. Byggnadsinfo med BBR'!$E$43,0)</f>
        <v>0</v>
      </c>
      <c r="J28" s="1343"/>
      <c r="K28" s="1344"/>
    </row>
    <row r="29" spans="2:11" ht="15.75" x14ac:dyDescent="0.3">
      <c r="B29" s="69"/>
      <c r="C29" s="654" t="s">
        <v>99</v>
      </c>
      <c r="D29" s="655">
        <f>'B1. Resultat beräkning'!F14</f>
        <v>0</v>
      </c>
      <c r="E29" s="681"/>
      <c r="F29" s="653">
        <f t="shared" si="1"/>
        <v>1</v>
      </c>
      <c r="G29" s="131"/>
      <c r="H29" s="731">
        <f>IFERROR(D29/'A. Byggnadsinfo med BBR'!$E$43,0)</f>
        <v>0</v>
      </c>
      <c r="I29" s="730">
        <f>IFERROR(E29/'A. Byggnadsinfo med BBR'!$E$43,0)</f>
        <v>0</v>
      </c>
      <c r="J29" s="1343"/>
      <c r="K29" s="1344"/>
    </row>
    <row r="30" spans="2:11" ht="15.75" x14ac:dyDescent="0.3">
      <c r="B30" s="69"/>
      <c r="C30" s="654" t="s">
        <v>617</v>
      </c>
      <c r="D30" s="655">
        <f>'B1. Resultat beräkning'!F16</f>
        <v>0</v>
      </c>
      <c r="E30" s="681"/>
      <c r="F30" s="653">
        <f t="shared" si="1"/>
        <v>1</v>
      </c>
      <c r="G30" s="131"/>
      <c r="H30" s="731">
        <f>IFERROR(D30/'A. Byggnadsinfo med BBR'!$E$43,0)</f>
        <v>0</v>
      </c>
      <c r="I30" s="730">
        <f>IFERROR(E30/'A. Byggnadsinfo med BBR'!$E$43,0)</f>
        <v>0</v>
      </c>
      <c r="J30" s="1343"/>
      <c r="K30" s="1344"/>
    </row>
    <row r="31" spans="2:11" ht="15.75" x14ac:dyDescent="0.3">
      <c r="B31" s="656"/>
      <c r="C31" s="657" t="s">
        <v>494</v>
      </c>
      <c r="D31" s="658">
        <f>'B1. Resultat beräkning'!F21</f>
        <v>0</v>
      </c>
      <c r="E31" s="677"/>
      <c r="F31" s="659">
        <f t="shared" si="1"/>
        <v>1</v>
      </c>
      <c r="G31" s="131"/>
      <c r="H31" s="732">
        <f>IFERROR(D31/'A. Byggnadsinfo med BBR'!$E$43,0)</f>
        <v>0</v>
      </c>
      <c r="I31" s="733">
        <f>IFERROR(E31/'A. Byggnadsinfo med BBR'!$E$43,0)</f>
        <v>0</v>
      </c>
      <c r="J31" s="1345"/>
      <c r="K31" s="1346"/>
    </row>
    <row r="32" spans="2:11" ht="15.75" customHeight="1" x14ac:dyDescent="0.3">
      <c r="G32" s="131"/>
    </row>
    <row r="33" spans="2:44" ht="19.5" x14ac:dyDescent="0.35">
      <c r="B33" s="14" t="s">
        <v>618</v>
      </c>
      <c r="C33" s="14"/>
      <c r="D33" s="14"/>
      <c r="E33" s="14"/>
      <c r="F33" s="14"/>
      <c r="G33" s="131"/>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2:44" ht="15.75" x14ac:dyDescent="0.3">
      <c r="B34" s="130" t="str">
        <f>B6</f>
        <v xml:space="preserve">Tabell 1. Dokumenterande underlag för korrigering av avvikelser i brukande </v>
      </c>
      <c r="C34" s="131"/>
      <c r="D34" s="131"/>
      <c r="E34" s="131"/>
      <c r="F34" s="131"/>
      <c r="G34" s="131"/>
      <c r="H34" s="131"/>
      <c r="I34" s="131"/>
      <c r="J34" s="131"/>
      <c r="K34" s="131"/>
      <c r="L34" s="131"/>
    </row>
    <row r="35" spans="2:44" ht="2.25" customHeight="1" thickBot="1" x14ac:dyDescent="0.35">
      <c r="B35" s="131"/>
      <c r="C35" s="131"/>
      <c r="D35" s="131"/>
      <c r="E35" s="131"/>
      <c r="F35" s="131"/>
      <c r="G35" s="131"/>
      <c r="H35" s="131"/>
      <c r="I35" s="131"/>
      <c r="J35" s="131"/>
      <c r="K35" s="131"/>
      <c r="L35" s="131"/>
    </row>
    <row r="36" spans="2:44" ht="15.75" x14ac:dyDescent="0.3">
      <c r="B36" s="1324" t="str">
        <f>B8</f>
        <v>Indatavärden</v>
      </c>
      <c r="C36" s="1353" t="str">
        <f>C8</f>
        <v>Enhet</v>
      </c>
      <c r="D36" s="1353" t="str">
        <f>D8</f>
        <v>Beräknad brukarindata</v>
      </c>
      <c r="E36" s="1353" t="str">
        <f>E8</f>
        <v>Uppmätt brukarindata</v>
      </c>
      <c r="F36" s="1353" t="str">
        <f>F8</f>
        <v>Avvikelse brukarindata</v>
      </c>
      <c r="G36" s="131"/>
      <c r="H36" s="1326" t="str">
        <f>H8</f>
        <v>Icke försumbar avvikelse</v>
      </c>
      <c r="I36" s="1329" t="str">
        <f>I8</f>
        <v>Anm.</v>
      </c>
      <c r="J36" s="1173"/>
      <c r="K36" s="1129"/>
    </row>
    <row r="37" spans="2:44" ht="16.5" thickBot="1" x14ac:dyDescent="0.35">
      <c r="B37" s="1375"/>
      <c r="C37" s="1385"/>
      <c r="D37" s="1385"/>
      <c r="E37" s="1385"/>
      <c r="F37" s="1385"/>
      <c r="G37" s="131"/>
      <c r="H37" s="1328"/>
      <c r="I37" s="1347"/>
      <c r="J37" s="1348"/>
      <c r="K37" s="1327"/>
    </row>
    <row r="38" spans="2:44" ht="18.75" x14ac:dyDescent="0.35">
      <c r="B38" s="493" t="s">
        <v>455</v>
      </c>
      <c r="C38" s="639" t="s">
        <v>495</v>
      </c>
      <c r="D38" s="682"/>
      <c r="E38" s="682"/>
      <c r="F38" s="527">
        <f>E38-D38</f>
        <v>0</v>
      </c>
      <c r="G38" s="131"/>
      <c r="H38" s="527" t="s">
        <v>597</v>
      </c>
      <c r="I38" s="1364"/>
      <c r="J38" s="1365"/>
      <c r="K38" s="1366"/>
    </row>
    <row r="39" spans="2:44" ht="15.75" x14ac:dyDescent="0.3">
      <c r="B39" s="493" t="s">
        <v>491</v>
      </c>
      <c r="C39" s="639" t="s">
        <v>419</v>
      </c>
      <c r="D39" s="681"/>
      <c r="E39" s="681"/>
      <c r="F39" s="639">
        <f t="shared" ref="F39:F46" si="2">E39-D39</f>
        <v>0</v>
      </c>
      <c r="G39" s="131"/>
      <c r="H39" s="639" t="s">
        <v>598</v>
      </c>
      <c r="I39" s="1340"/>
      <c r="J39" s="1341"/>
      <c r="K39" s="1342"/>
    </row>
    <row r="40" spans="2:44" ht="15.75" x14ac:dyDescent="0.3">
      <c r="B40" s="493" t="s">
        <v>599</v>
      </c>
      <c r="C40" s="639" t="s">
        <v>419</v>
      </c>
      <c r="D40" s="681"/>
      <c r="E40" s="681"/>
      <c r="F40" s="639">
        <f t="shared" si="2"/>
        <v>0</v>
      </c>
      <c r="G40" s="131"/>
      <c r="H40" s="639" t="s">
        <v>598</v>
      </c>
      <c r="I40" s="1340"/>
      <c r="J40" s="1341"/>
      <c r="K40" s="1342"/>
    </row>
    <row r="41" spans="2:44" ht="15.75" x14ac:dyDescent="0.3">
      <c r="B41" s="493" t="s">
        <v>600</v>
      </c>
      <c r="C41" s="639" t="s">
        <v>601</v>
      </c>
      <c r="D41" s="681"/>
      <c r="E41" s="681"/>
      <c r="F41" s="639">
        <f t="shared" si="2"/>
        <v>0</v>
      </c>
      <c r="G41" s="131"/>
      <c r="H41" s="639"/>
      <c r="I41" s="1340"/>
      <c r="J41" s="1341"/>
      <c r="K41" s="1342"/>
    </row>
    <row r="42" spans="2:44" ht="15.75" x14ac:dyDescent="0.3">
      <c r="B42" s="493" t="s">
        <v>602</v>
      </c>
      <c r="C42" s="639" t="s">
        <v>601</v>
      </c>
      <c r="D42" s="681"/>
      <c r="E42" s="681"/>
      <c r="F42" s="639">
        <f t="shared" si="2"/>
        <v>0</v>
      </c>
      <c r="G42" s="131"/>
      <c r="H42" s="639"/>
      <c r="I42" s="1340"/>
      <c r="J42" s="1341"/>
      <c r="K42" s="1342"/>
    </row>
    <row r="43" spans="2:44" ht="18.75" x14ac:dyDescent="0.35">
      <c r="B43" s="493" t="s">
        <v>603</v>
      </c>
      <c r="C43" s="639" t="s">
        <v>604</v>
      </c>
      <c r="D43" s="681"/>
      <c r="E43" s="681"/>
      <c r="F43" s="639">
        <f t="shared" si="2"/>
        <v>0</v>
      </c>
      <c r="G43" s="131"/>
      <c r="H43" s="639"/>
      <c r="I43" s="1340"/>
      <c r="J43" s="1341"/>
      <c r="K43" s="1342"/>
    </row>
    <row r="44" spans="2:44" ht="18.75" x14ac:dyDescent="0.35">
      <c r="B44" s="493" t="s">
        <v>605</v>
      </c>
      <c r="C44" s="639" t="s">
        <v>604</v>
      </c>
      <c r="D44" s="681"/>
      <c r="E44" s="681"/>
      <c r="F44" s="639">
        <f t="shared" si="2"/>
        <v>0</v>
      </c>
      <c r="G44" s="131"/>
      <c r="H44" s="639"/>
      <c r="I44" s="1340"/>
      <c r="J44" s="1341"/>
      <c r="K44" s="1342"/>
    </row>
    <row r="45" spans="2:44" ht="18.75" x14ac:dyDescent="0.35">
      <c r="B45" s="493" t="s">
        <v>494</v>
      </c>
      <c r="C45" s="641" t="s">
        <v>495</v>
      </c>
      <c r="D45" s="683"/>
      <c r="E45" s="683"/>
      <c r="F45" s="639">
        <f t="shared" si="2"/>
        <v>0</v>
      </c>
      <c r="G45" s="131"/>
      <c r="H45" s="639" t="s">
        <v>606</v>
      </c>
      <c r="I45" s="1340"/>
      <c r="J45" s="1341"/>
      <c r="K45" s="1342"/>
    </row>
    <row r="46" spans="2:44" ht="16.5" thickBot="1" x14ac:dyDescent="0.35">
      <c r="B46" s="642" t="s">
        <v>607</v>
      </c>
      <c r="C46" s="677"/>
      <c r="D46" s="677"/>
      <c r="E46" s="677"/>
      <c r="F46" s="532">
        <f t="shared" si="2"/>
        <v>0</v>
      </c>
      <c r="G46" s="131"/>
      <c r="H46" s="532"/>
      <c r="I46" s="1349"/>
      <c r="J46" s="1350"/>
      <c r="K46" s="1351"/>
    </row>
    <row r="47" spans="2:44" ht="6" customHeight="1" x14ac:dyDescent="0.3">
      <c r="G47" s="131"/>
    </row>
    <row r="48" spans="2:44" ht="15.75" x14ac:dyDescent="0.3">
      <c r="B48" s="130" t="str">
        <f>B20</f>
        <v>Tabell 2. Resultat för korrigering vid beräkning med upprepad dynamisk energiberäkning</v>
      </c>
      <c r="G48" s="131"/>
    </row>
    <row r="49" spans="2:12" ht="3" customHeight="1" thickBot="1" x14ac:dyDescent="0.35">
      <c r="G49" s="131"/>
    </row>
    <row r="50" spans="2:12" ht="15.75" customHeight="1" x14ac:dyDescent="0.3">
      <c r="B50" s="1381" t="str">
        <f>B22</f>
        <v>Energiprestandapåverkan utdata</v>
      </c>
      <c r="C50" s="1382"/>
      <c r="D50" s="1377" t="str">
        <f>D22</f>
        <v>Beräknat enl. relationshandling</v>
      </c>
      <c r="E50" s="1353" t="s">
        <v>619</v>
      </c>
      <c r="F50" s="1326" t="str">
        <f>F22</f>
        <v>Korrigerings-divisor</v>
      </c>
      <c r="G50" s="131"/>
      <c r="H50" s="1379" t="str">
        <f>D50</f>
        <v>Beräknat enl. relationshandling</v>
      </c>
      <c r="I50" s="1353" t="str">
        <f>E50</f>
        <v>Beräknat för år 2</v>
      </c>
      <c r="J50" s="1367" t="str">
        <f>J22</f>
        <v>Anm.</v>
      </c>
      <c r="K50" s="1368"/>
    </row>
    <row r="51" spans="2:12" ht="15.75" x14ac:dyDescent="0.3">
      <c r="B51" s="1383"/>
      <c r="C51" s="1384"/>
      <c r="D51" s="1378"/>
      <c r="E51" s="1354"/>
      <c r="F51" s="1352"/>
      <c r="G51" s="131"/>
      <c r="H51" s="1380"/>
      <c r="I51" s="1354"/>
      <c r="J51" s="1369"/>
      <c r="K51" s="1370"/>
    </row>
    <row r="52" spans="2:12" ht="17.25" thickBot="1" x14ac:dyDescent="0.35">
      <c r="B52" s="1386"/>
      <c r="C52" s="1387"/>
      <c r="D52" s="507" t="s">
        <v>252</v>
      </c>
      <c r="E52" s="486" t="s">
        <v>252</v>
      </c>
      <c r="F52" s="506" t="s">
        <v>252</v>
      </c>
      <c r="G52" s="131"/>
      <c r="H52" s="660" t="s">
        <v>613</v>
      </c>
      <c r="I52" s="661" t="s">
        <v>614</v>
      </c>
      <c r="J52" s="1371"/>
      <c r="K52" s="1372"/>
    </row>
    <row r="53" spans="2:12" ht="15.75" x14ac:dyDescent="0.3">
      <c r="B53" s="69"/>
      <c r="C53" s="654" t="str">
        <f>C25</f>
        <v>Uppvärmning exkl TVV och VVC</v>
      </c>
      <c r="D53" s="662">
        <f>D25</f>
        <v>0</v>
      </c>
      <c r="E53" s="680"/>
      <c r="F53" s="648">
        <f>IF(D53&gt;0,E53/D53,1)</f>
        <v>1</v>
      </c>
      <c r="G53" s="131"/>
      <c r="H53" s="663">
        <f>IFERROR(D53/'A. Byggnadsinfo med BBR'!$E$43,0)</f>
        <v>0</v>
      </c>
      <c r="I53" s="664">
        <f>IFERROR(E53/'A. Byggnadsinfo med BBR'!$E$43,0)</f>
        <v>0</v>
      </c>
      <c r="J53" s="1373"/>
      <c r="K53" s="1374"/>
    </row>
    <row r="54" spans="2:12" ht="15.75" x14ac:dyDescent="0.3">
      <c r="B54" s="69"/>
      <c r="C54" s="654" t="str">
        <f t="shared" ref="C54:D59" si="3">C26</f>
        <v>Tappvarmvatten</v>
      </c>
      <c r="D54" s="665">
        <f t="shared" si="3"/>
        <v>0</v>
      </c>
      <c r="E54" s="681"/>
      <c r="F54" s="653">
        <f t="shared" ref="F54:F59" si="4">IF(D54&gt;0,E54/D54,1)</f>
        <v>1</v>
      </c>
      <c r="G54" s="131"/>
      <c r="H54" s="666">
        <f>IFERROR(D54/'A. Byggnadsinfo med BBR'!$E$43,0)</f>
        <v>0</v>
      </c>
      <c r="I54" s="667">
        <f>IFERROR(E54/'A. Byggnadsinfo med BBR'!$E$43,0)</f>
        <v>0</v>
      </c>
      <c r="J54" s="1390"/>
      <c r="K54" s="1391"/>
    </row>
    <row r="55" spans="2:12" ht="15.75" x14ac:dyDescent="0.3">
      <c r="B55" s="69"/>
      <c r="C55" s="654" t="str">
        <f t="shared" si="3"/>
        <v>VVC-förluster</v>
      </c>
      <c r="D55" s="665">
        <f t="shared" si="3"/>
        <v>0</v>
      </c>
      <c r="E55" s="681"/>
      <c r="F55" s="653">
        <f t="shared" si="4"/>
        <v>1</v>
      </c>
      <c r="G55" s="131"/>
      <c r="H55" s="666">
        <f>IFERROR(D55/'A. Byggnadsinfo med BBR'!$E$43,0)</f>
        <v>0</v>
      </c>
      <c r="I55" s="667">
        <f>IFERROR(E55/'A. Byggnadsinfo med BBR'!$E$43,0)</f>
        <v>0</v>
      </c>
      <c r="J55" s="684"/>
      <c r="K55" s="685"/>
    </row>
    <row r="56" spans="2:12" ht="15.75" x14ac:dyDescent="0.3">
      <c r="B56" s="69"/>
      <c r="C56" s="654" t="str">
        <f t="shared" si="3"/>
        <v>Elkyla</v>
      </c>
      <c r="D56" s="665">
        <f t="shared" si="3"/>
        <v>0</v>
      </c>
      <c r="E56" s="681"/>
      <c r="F56" s="653">
        <f t="shared" si="4"/>
        <v>1</v>
      </c>
      <c r="G56" s="131"/>
      <c r="H56" s="666">
        <f>IFERROR(D56/'A. Byggnadsinfo med BBR'!$E$43,0)</f>
        <v>0</v>
      </c>
      <c r="I56" s="667">
        <f>IFERROR(E56/'A. Byggnadsinfo med BBR'!$E$43,0)</f>
        <v>0</v>
      </c>
      <c r="J56" s="1390"/>
      <c r="K56" s="1391"/>
    </row>
    <row r="57" spans="2:12" ht="15.75" x14ac:dyDescent="0.3">
      <c r="B57" s="69"/>
      <c r="C57" s="654" t="str">
        <f t="shared" si="3"/>
        <v>Fjärrkyla</v>
      </c>
      <c r="D57" s="665">
        <f t="shared" si="3"/>
        <v>0</v>
      </c>
      <c r="E57" s="681"/>
      <c r="F57" s="653">
        <f t="shared" si="4"/>
        <v>1</v>
      </c>
      <c r="G57" s="131"/>
      <c r="H57" s="666">
        <f>IFERROR(D57/'A. Byggnadsinfo med BBR'!$E$43,0)</f>
        <v>0</v>
      </c>
      <c r="I57" s="667">
        <f>IFERROR(E57/'A. Byggnadsinfo med BBR'!$E$43,0)</f>
        <v>0</v>
      </c>
      <c r="J57" s="1390"/>
      <c r="K57" s="1391"/>
    </row>
    <row r="58" spans="2:12" ht="15.75" x14ac:dyDescent="0.3">
      <c r="B58" s="69"/>
      <c r="C58" s="654" t="str">
        <f t="shared" si="3"/>
        <v>Driftel exkl värme och kyla</v>
      </c>
      <c r="D58" s="665">
        <f t="shared" si="3"/>
        <v>0</v>
      </c>
      <c r="E58" s="681"/>
      <c r="F58" s="653">
        <f t="shared" si="4"/>
        <v>1</v>
      </c>
      <c r="G58" s="131"/>
      <c r="H58" s="666">
        <f>IFERROR(D58/'A. Byggnadsinfo med BBR'!$E$43,0)</f>
        <v>0</v>
      </c>
      <c r="I58" s="667">
        <f>IFERROR(E58/'A. Byggnadsinfo med BBR'!$E$43,0)</f>
        <v>0</v>
      </c>
      <c r="J58" s="1390"/>
      <c r="K58" s="1391"/>
    </row>
    <row r="59" spans="2:12" ht="16.5" thickBot="1" x14ac:dyDescent="0.35">
      <c r="B59" s="656"/>
      <c r="C59" s="668" t="str">
        <f t="shared" si="3"/>
        <v>Verksamhets-/Hushållsenergi</v>
      </c>
      <c r="D59" s="669">
        <f t="shared" si="3"/>
        <v>0</v>
      </c>
      <c r="E59" s="677"/>
      <c r="F59" s="659">
        <f t="shared" si="4"/>
        <v>1</v>
      </c>
      <c r="G59" s="131"/>
      <c r="H59" s="670">
        <f>IFERROR(D59/'A. Byggnadsinfo med BBR'!$E$43,0)</f>
        <v>0</v>
      </c>
      <c r="I59" s="671">
        <f>IFERROR(E59/'A. Byggnadsinfo med BBR'!$E$43,0)</f>
        <v>0</v>
      </c>
      <c r="J59" s="1392"/>
      <c r="K59" s="1393"/>
    </row>
    <row r="60" spans="2:12" ht="15.75" customHeight="1" x14ac:dyDescent="0.3">
      <c r="G60" s="131"/>
    </row>
    <row r="61" spans="2:12" ht="19.5" x14ac:dyDescent="0.35">
      <c r="B61" s="14" t="s">
        <v>476</v>
      </c>
      <c r="G61" s="131"/>
    </row>
    <row r="62" spans="2:12" ht="15.75" x14ac:dyDescent="0.3">
      <c r="B62" s="130" t="str">
        <f>B6</f>
        <v xml:space="preserve">Tabell 1. Dokumenterande underlag för korrigering av avvikelser i brukande </v>
      </c>
      <c r="C62" s="131"/>
      <c r="D62" s="131"/>
      <c r="E62" s="131"/>
      <c r="F62" s="131"/>
      <c r="G62" s="131"/>
      <c r="H62" s="131"/>
      <c r="I62" s="131"/>
      <c r="J62" s="131"/>
      <c r="K62" s="131"/>
      <c r="L62" s="131"/>
    </row>
    <row r="63" spans="2:12" ht="2.25" customHeight="1" thickBot="1" x14ac:dyDescent="0.35">
      <c r="B63" s="131"/>
      <c r="C63" s="131"/>
      <c r="D63" s="131"/>
      <c r="E63" s="131"/>
      <c r="F63" s="131"/>
      <c r="G63" s="131"/>
      <c r="H63" s="131"/>
      <c r="I63" s="131"/>
      <c r="J63" s="131"/>
      <c r="K63" s="131"/>
      <c r="L63" s="131"/>
    </row>
    <row r="64" spans="2:12" ht="15.75" x14ac:dyDescent="0.3">
      <c r="B64" s="1324" t="str">
        <f>B8</f>
        <v>Indatavärden</v>
      </c>
      <c r="C64" s="1353" t="str">
        <f>C8</f>
        <v>Enhet</v>
      </c>
      <c r="D64" s="1353" t="str">
        <f>D8</f>
        <v>Beräknad brukarindata</v>
      </c>
      <c r="E64" s="1353" t="str">
        <f>E8</f>
        <v>Uppmätt brukarindata</v>
      </c>
      <c r="F64" s="1353" t="str">
        <f>F8</f>
        <v>Avvikelse brukarindata</v>
      </c>
      <c r="G64" s="131"/>
      <c r="H64" s="1326" t="str">
        <f>H8</f>
        <v>Icke försumbar avvikelse</v>
      </c>
      <c r="I64" s="1329" t="s">
        <v>102</v>
      </c>
      <c r="J64" s="1173"/>
      <c r="K64" s="1129"/>
    </row>
    <row r="65" spans="2:11" ht="16.5" thickBot="1" x14ac:dyDescent="0.35">
      <c r="B65" s="1375"/>
      <c r="C65" s="1385"/>
      <c r="D65" s="1385"/>
      <c r="E65" s="1385"/>
      <c r="F65" s="1385"/>
      <c r="G65" s="131"/>
      <c r="H65" s="1328"/>
      <c r="I65" s="1347"/>
      <c r="J65" s="1348"/>
      <c r="K65" s="1327"/>
    </row>
    <row r="66" spans="2:11" ht="18.75" x14ac:dyDescent="0.35">
      <c r="B66" s="493" t="s">
        <v>455</v>
      </c>
      <c r="C66" s="639" t="s">
        <v>495</v>
      </c>
      <c r="D66" s="682"/>
      <c r="E66" s="682"/>
      <c r="F66" s="527">
        <f>E66-D66</f>
        <v>0</v>
      </c>
      <c r="G66" s="131"/>
      <c r="H66" s="527" t="s">
        <v>597</v>
      </c>
      <c r="I66" s="1364"/>
      <c r="J66" s="1365"/>
      <c r="K66" s="1366"/>
    </row>
    <row r="67" spans="2:11" ht="15.75" x14ac:dyDescent="0.3">
      <c r="B67" s="493" t="s">
        <v>491</v>
      </c>
      <c r="C67" s="639" t="s">
        <v>419</v>
      </c>
      <c r="D67" s="681"/>
      <c r="E67" s="681"/>
      <c r="F67" s="639">
        <f t="shared" ref="F67:F74" si="5">E67-D67</f>
        <v>0</v>
      </c>
      <c r="G67" s="131"/>
      <c r="H67" s="639" t="s">
        <v>598</v>
      </c>
      <c r="I67" s="1340"/>
      <c r="J67" s="1341"/>
      <c r="K67" s="1342"/>
    </row>
    <row r="68" spans="2:11" ht="15.75" x14ac:dyDescent="0.3">
      <c r="B68" s="493" t="s">
        <v>599</v>
      </c>
      <c r="C68" s="639" t="s">
        <v>419</v>
      </c>
      <c r="D68" s="681"/>
      <c r="E68" s="681"/>
      <c r="F68" s="639">
        <f t="shared" si="5"/>
        <v>0</v>
      </c>
      <c r="G68" s="131"/>
      <c r="H68" s="639" t="s">
        <v>598</v>
      </c>
      <c r="I68" s="1340"/>
      <c r="J68" s="1341"/>
      <c r="K68" s="1342"/>
    </row>
    <row r="69" spans="2:11" ht="15.75" x14ac:dyDescent="0.3">
      <c r="B69" s="493" t="s">
        <v>600</v>
      </c>
      <c r="C69" s="639" t="s">
        <v>601</v>
      </c>
      <c r="D69" s="681"/>
      <c r="E69" s="681"/>
      <c r="F69" s="639">
        <f t="shared" si="5"/>
        <v>0</v>
      </c>
      <c r="G69" s="131"/>
      <c r="H69" s="639"/>
      <c r="I69" s="1340"/>
      <c r="J69" s="1341"/>
      <c r="K69" s="1342"/>
    </row>
    <row r="70" spans="2:11" ht="15.75" x14ac:dyDescent="0.3">
      <c r="B70" s="493" t="s">
        <v>602</v>
      </c>
      <c r="C70" s="639" t="s">
        <v>601</v>
      </c>
      <c r="D70" s="681"/>
      <c r="E70" s="681"/>
      <c r="F70" s="639">
        <f t="shared" si="5"/>
        <v>0</v>
      </c>
      <c r="G70" s="131"/>
      <c r="H70" s="639"/>
      <c r="I70" s="1340"/>
      <c r="J70" s="1341"/>
      <c r="K70" s="1342"/>
    </row>
    <row r="71" spans="2:11" ht="18.75" x14ac:dyDescent="0.35">
      <c r="B71" s="493" t="s">
        <v>603</v>
      </c>
      <c r="C71" s="639" t="s">
        <v>604</v>
      </c>
      <c r="D71" s="681"/>
      <c r="E71" s="681"/>
      <c r="F71" s="639">
        <f t="shared" si="5"/>
        <v>0</v>
      </c>
      <c r="G71" s="131"/>
      <c r="H71" s="639"/>
      <c r="I71" s="1340"/>
      <c r="J71" s="1341"/>
      <c r="K71" s="1342"/>
    </row>
    <row r="72" spans="2:11" ht="18.75" x14ac:dyDescent="0.35">
      <c r="B72" s="493" t="s">
        <v>605</v>
      </c>
      <c r="C72" s="639" t="s">
        <v>604</v>
      </c>
      <c r="D72" s="681"/>
      <c r="E72" s="681"/>
      <c r="F72" s="639">
        <f t="shared" si="5"/>
        <v>0</v>
      </c>
      <c r="G72" s="131"/>
      <c r="H72" s="639"/>
      <c r="I72" s="1340"/>
      <c r="J72" s="1341"/>
      <c r="K72" s="1342"/>
    </row>
    <row r="73" spans="2:11" ht="18.75" x14ac:dyDescent="0.35">
      <c r="B73" s="493" t="s">
        <v>494</v>
      </c>
      <c r="C73" s="641" t="s">
        <v>495</v>
      </c>
      <c r="D73" s="683"/>
      <c r="E73" s="683"/>
      <c r="F73" s="639">
        <f t="shared" si="5"/>
        <v>0</v>
      </c>
      <c r="G73" s="131"/>
      <c r="H73" s="639" t="s">
        <v>606</v>
      </c>
      <c r="I73" s="1340"/>
      <c r="J73" s="1341"/>
      <c r="K73" s="1342"/>
    </row>
    <row r="74" spans="2:11" ht="16.5" thickBot="1" x14ac:dyDescent="0.35">
      <c r="B74" s="642" t="s">
        <v>607</v>
      </c>
      <c r="C74" s="677"/>
      <c r="D74" s="677"/>
      <c r="E74" s="677"/>
      <c r="F74" s="532">
        <f t="shared" si="5"/>
        <v>0</v>
      </c>
      <c r="G74" s="131"/>
      <c r="H74" s="532"/>
      <c r="I74" s="1349"/>
      <c r="J74" s="1350"/>
      <c r="K74" s="1351"/>
    </row>
    <row r="75" spans="2:11" ht="6" customHeight="1" x14ac:dyDescent="0.3">
      <c r="G75" s="131"/>
    </row>
    <row r="76" spans="2:11" ht="15.75" x14ac:dyDescent="0.3">
      <c r="B76" s="130" t="str">
        <f>B20</f>
        <v>Tabell 2. Resultat för korrigering vid beräkning med upprepad dynamisk energiberäkning</v>
      </c>
      <c r="G76" s="131"/>
    </row>
    <row r="77" spans="2:11" ht="3" customHeight="1" thickBot="1" x14ac:dyDescent="0.35">
      <c r="G77" s="131"/>
    </row>
    <row r="78" spans="2:11" ht="15.75" customHeight="1" x14ac:dyDescent="0.3">
      <c r="B78" s="1381" t="str">
        <f>B22</f>
        <v>Energiprestandapåverkan utdata</v>
      </c>
      <c r="C78" s="1382"/>
      <c r="D78" s="1377" t="str">
        <f>D22</f>
        <v>Beräknat enl. relationshandling</v>
      </c>
      <c r="E78" s="1353" t="s">
        <v>620</v>
      </c>
      <c r="F78" s="1326" t="str">
        <f>F22</f>
        <v>Korrigerings-divisor</v>
      </c>
      <c r="G78" s="131"/>
      <c r="H78" s="1379" t="str">
        <f>D78</f>
        <v>Beräknat enl. relationshandling</v>
      </c>
      <c r="I78" s="1353" t="str">
        <f>E78</f>
        <v>Beräknat för år 3</v>
      </c>
      <c r="J78" s="1367" t="s">
        <v>102</v>
      </c>
      <c r="K78" s="1368"/>
    </row>
    <row r="79" spans="2:11" ht="15.75" x14ac:dyDescent="0.3">
      <c r="B79" s="1383"/>
      <c r="C79" s="1384"/>
      <c r="D79" s="1378"/>
      <c r="E79" s="1354"/>
      <c r="F79" s="1352"/>
      <c r="G79" s="131"/>
      <c r="H79" s="1380"/>
      <c r="I79" s="1354"/>
      <c r="J79" s="1369"/>
      <c r="K79" s="1370"/>
    </row>
    <row r="80" spans="2:11" ht="17.25" thickBot="1" x14ac:dyDescent="0.35">
      <c r="B80" s="1386"/>
      <c r="C80" s="1387"/>
      <c r="D80" s="507" t="s">
        <v>252</v>
      </c>
      <c r="E80" s="486" t="s">
        <v>252</v>
      </c>
      <c r="F80" s="506" t="s">
        <v>252</v>
      </c>
      <c r="G80" s="131"/>
      <c r="H80" s="660" t="s">
        <v>613</v>
      </c>
      <c r="I80" s="661" t="s">
        <v>614</v>
      </c>
      <c r="J80" s="1371"/>
      <c r="K80" s="1372"/>
    </row>
    <row r="81" spans="2:11" ht="15.75" x14ac:dyDescent="0.3">
      <c r="B81" s="69"/>
      <c r="C81" s="464" t="str">
        <f>C25</f>
        <v>Uppvärmning exkl TVV och VVC</v>
      </c>
      <c r="D81" s="672">
        <f>D53</f>
        <v>0</v>
      </c>
      <c r="E81" s="680"/>
      <c r="F81" s="673">
        <f>IF(D81&gt;0,E81/D81,1)</f>
        <v>1</v>
      </c>
      <c r="G81" s="131"/>
      <c r="H81" s="663">
        <f>IFERROR(D81/'A. Byggnadsinfo med BBR'!$E$43,0)</f>
        <v>0</v>
      </c>
      <c r="I81" s="664">
        <f>IFERROR(E81/'A. Byggnadsinfo med BBR'!$E$43,0)</f>
        <v>0</v>
      </c>
      <c r="J81" s="1373"/>
      <c r="K81" s="1374"/>
    </row>
    <row r="82" spans="2:11" ht="15.75" x14ac:dyDescent="0.3">
      <c r="B82" s="69"/>
      <c r="C82" s="464" t="str">
        <f t="shared" ref="C82:C87" si="6">C26</f>
        <v>Tappvarmvatten</v>
      </c>
      <c r="D82" s="674">
        <f t="shared" ref="D82:D87" si="7">D54</f>
        <v>0</v>
      </c>
      <c r="E82" s="682"/>
      <c r="F82" s="653">
        <f t="shared" ref="F82:F87" si="8">IF(D82&gt;0,E82/D82,1)</f>
        <v>1</v>
      </c>
      <c r="G82" s="131"/>
      <c r="H82" s="666">
        <f>IFERROR(D82/'A. Byggnadsinfo med BBR'!$E$43,0)</f>
        <v>0</v>
      </c>
      <c r="I82" s="667">
        <f>IFERROR(E82/'A. Byggnadsinfo med BBR'!$E$43,0)</f>
        <v>0</v>
      </c>
      <c r="J82" s="1390"/>
      <c r="K82" s="1391"/>
    </row>
    <row r="83" spans="2:11" ht="15.75" x14ac:dyDescent="0.3">
      <c r="B83" s="69"/>
      <c r="C83" s="464" t="str">
        <f t="shared" si="6"/>
        <v>VVC-förluster</v>
      </c>
      <c r="D83" s="674">
        <f t="shared" si="7"/>
        <v>0</v>
      </c>
      <c r="E83" s="681"/>
      <c r="F83" s="653">
        <f t="shared" si="8"/>
        <v>1</v>
      </c>
      <c r="G83" s="131"/>
      <c r="H83" s="666">
        <f>IFERROR(D83/'A. Byggnadsinfo med BBR'!$E$43,0)</f>
        <v>0</v>
      </c>
      <c r="I83" s="667">
        <f>IFERROR(E83/'A. Byggnadsinfo med BBR'!$E$43,0)</f>
        <v>0</v>
      </c>
      <c r="J83" s="1390"/>
      <c r="K83" s="1391"/>
    </row>
    <row r="84" spans="2:11" ht="15.75" x14ac:dyDescent="0.3">
      <c r="B84" s="69"/>
      <c r="C84" s="464" t="str">
        <f t="shared" si="6"/>
        <v>Elkyla</v>
      </c>
      <c r="D84" s="674">
        <f t="shared" si="7"/>
        <v>0</v>
      </c>
      <c r="E84" s="681"/>
      <c r="F84" s="653">
        <f t="shared" si="8"/>
        <v>1</v>
      </c>
      <c r="G84" s="131"/>
      <c r="H84" s="666">
        <f>IFERROR(D84/'A. Byggnadsinfo med BBR'!$E$43,0)</f>
        <v>0</v>
      </c>
      <c r="I84" s="667">
        <f>IFERROR(E84/'A. Byggnadsinfo med BBR'!$E$43,0)</f>
        <v>0</v>
      </c>
      <c r="J84" s="1390"/>
      <c r="K84" s="1391"/>
    </row>
    <row r="85" spans="2:11" ht="15.75" x14ac:dyDescent="0.3">
      <c r="B85" s="69"/>
      <c r="C85" s="464" t="str">
        <f t="shared" si="6"/>
        <v>Fjärrkyla</v>
      </c>
      <c r="D85" s="674">
        <f t="shared" si="7"/>
        <v>0</v>
      </c>
      <c r="E85" s="681"/>
      <c r="F85" s="653">
        <f t="shared" si="8"/>
        <v>1</v>
      </c>
      <c r="G85" s="131"/>
      <c r="H85" s="666">
        <f>IFERROR(D85/'A. Byggnadsinfo med BBR'!$E$43,0)</f>
        <v>0</v>
      </c>
      <c r="I85" s="667">
        <f>IFERROR(E85/'A. Byggnadsinfo med BBR'!$E$43,0)</f>
        <v>0</v>
      </c>
      <c r="J85" s="1390"/>
      <c r="K85" s="1391"/>
    </row>
    <row r="86" spans="2:11" ht="15.75" x14ac:dyDescent="0.3">
      <c r="B86" s="69"/>
      <c r="C86" s="464" t="str">
        <f t="shared" si="6"/>
        <v>Driftel exkl värme och kyla</v>
      </c>
      <c r="D86" s="674">
        <f t="shared" si="7"/>
        <v>0</v>
      </c>
      <c r="E86" s="681"/>
      <c r="F86" s="653">
        <f t="shared" si="8"/>
        <v>1</v>
      </c>
      <c r="G86" s="131"/>
      <c r="H86" s="666">
        <f>IFERROR(D86/'A. Byggnadsinfo med BBR'!$E$43,0)</f>
        <v>0</v>
      </c>
      <c r="I86" s="667">
        <f>IFERROR(E86/'A. Byggnadsinfo med BBR'!$E$43,0)</f>
        <v>0</v>
      </c>
      <c r="J86" s="1390"/>
      <c r="K86" s="1391"/>
    </row>
    <row r="87" spans="2:11" ht="16.5" thickBot="1" x14ac:dyDescent="0.35">
      <c r="B87" s="656"/>
      <c r="C87" s="675" t="str">
        <f t="shared" si="6"/>
        <v>Verksamhets-/Hushållsenergi</v>
      </c>
      <c r="D87" s="676">
        <f t="shared" si="7"/>
        <v>0</v>
      </c>
      <c r="E87" s="677"/>
      <c r="F87" s="659">
        <f t="shared" si="8"/>
        <v>1</v>
      </c>
      <c r="G87" s="131"/>
      <c r="H87" s="670">
        <f>IFERROR(D87/'A. Byggnadsinfo med BBR'!$E$43,0)</f>
        <v>0</v>
      </c>
      <c r="I87" s="671">
        <f>IFERROR(E87/'A. Byggnadsinfo med BBR'!$E$43,0)</f>
        <v>0</v>
      </c>
      <c r="J87" s="1392"/>
      <c r="K87" s="1393"/>
    </row>
    <row r="88" spans="2:11" ht="9" customHeight="1" x14ac:dyDescent="0.3">
      <c r="G88" s="131"/>
    </row>
    <row r="89" spans="2:11" ht="15.75" x14ac:dyDescent="0.3">
      <c r="G89" s="131"/>
    </row>
  </sheetData>
  <sheetProtection algorithmName="SHA-512" hashValue="G56B6GjPHCSJ+MVJ1wMva4hmCnHG5eqwxJ3X954fQEkSyHrH5knCPl5Kxq8PrPlfKsfgAM9NwmybJf2DmBwv7Q==" saltValue="qj59Ca/HTpgcggLz53w4uQ==" spinCount="100000" sheet="1" objects="1" scenarios="1"/>
  <mergeCells count="97">
    <mergeCell ref="J86:K86"/>
    <mergeCell ref="J87:K87"/>
    <mergeCell ref="I78:I79"/>
    <mergeCell ref="J78:K80"/>
    <mergeCell ref="J81:K81"/>
    <mergeCell ref="J82:K82"/>
    <mergeCell ref="J83:K83"/>
    <mergeCell ref="B78:C79"/>
    <mergeCell ref="B80:C80"/>
    <mergeCell ref="D4:F4"/>
    <mergeCell ref="J84:K84"/>
    <mergeCell ref="J85:K85"/>
    <mergeCell ref="J57:K57"/>
    <mergeCell ref="J58:K58"/>
    <mergeCell ref="J59:K59"/>
    <mergeCell ref="H64:H65"/>
    <mergeCell ref="J54:K54"/>
    <mergeCell ref="J56:K56"/>
    <mergeCell ref="F64:F65"/>
    <mergeCell ref="D78:D79"/>
    <mergeCell ref="E78:E79"/>
    <mergeCell ref="F78:F79"/>
    <mergeCell ref="H78:H79"/>
    <mergeCell ref="B52:C52"/>
    <mergeCell ref="B64:B65"/>
    <mergeCell ref="C64:C65"/>
    <mergeCell ref="D64:D65"/>
    <mergeCell ref="E64:E65"/>
    <mergeCell ref="D50:D51"/>
    <mergeCell ref="E50:E51"/>
    <mergeCell ref="F50:F51"/>
    <mergeCell ref="H50:H51"/>
    <mergeCell ref="B50:C51"/>
    <mergeCell ref="B36:B37"/>
    <mergeCell ref="C36:C37"/>
    <mergeCell ref="D36:D37"/>
    <mergeCell ref="E36:E37"/>
    <mergeCell ref="F36:F37"/>
    <mergeCell ref="D22:D23"/>
    <mergeCell ref="E22:E23"/>
    <mergeCell ref="F22:F23"/>
    <mergeCell ref="H22:H23"/>
    <mergeCell ref="B22:C23"/>
    <mergeCell ref="B8:B9"/>
    <mergeCell ref="C8:C9"/>
    <mergeCell ref="D8:D9"/>
    <mergeCell ref="E8:E9"/>
    <mergeCell ref="F8:F9"/>
    <mergeCell ref="I72:K72"/>
    <mergeCell ref="I68:K68"/>
    <mergeCell ref="I65:K65"/>
    <mergeCell ref="I66:K66"/>
    <mergeCell ref="I74:K74"/>
    <mergeCell ref="I73:K73"/>
    <mergeCell ref="I69:K69"/>
    <mergeCell ref="I67:K67"/>
    <mergeCell ref="I70:K70"/>
    <mergeCell ref="I71:K71"/>
    <mergeCell ref="I44:K44"/>
    <mergeCell ref="I45:K45"/>
    <mergeCell ref="I46:K46"/>
    <mergeCell ref="I64:K64"/>
    <mergeCell ref="I22:I23"/>
    <mergeCell ref="I50:I51"/>
    <mergeCell ref="J27:K27"/>
    <mergeCell ref="J23:K23"/>
    <mergeCell ref="I42:K42"/>
    <mergeCell ref="I43:K43"/>
    <mergeCell ref="J24:K24"/>
    <mergeCell ref="J25:K25"/>
    <mergeCell ref="J26:K26"/>
    <mergeCell ref="I38:K38"/>
    <mergeCell ref="J50:K52"/>
    <mergeCell ref="J53:K53"/>
    <mergeCell ref="I39:K39"/>
    <mergeCell ref="I41:K41"/>
    <mergeCell ref="J28:K28"/>
    <mergeCell ref="J29:K29"/>
    <mergeCell ref="J30:K30"/>
    <mergeCell ref="J31:K31"/>
    <mergeCell ref="I36:K36"/>
    <mergeCell ref="I37:K37"/>
    <mergeCell ref="I40:K40"/>
    <mergeCell ref="J22:K22"/>
    <mergeCell ref="H8:H9"/>
    <mergeCell ref="H36:H37"/>
    <mergeCell ref="I8:K8"/>
    <mergeCell ref="I9:K9"/>
    <mergeCell ref="I10:K10"/>
    <mergeCell ref="I11:K11"/>
    <mergeCell ref="I12:K12"/>
    <mergeCell ref="I18:K18"/>
    <mergeCell ref="I13:K13"/>
    <mergeCell ref="I14:K14"/>
    <mergeCell ref="I15:K15"/>
    <mergeCell ref="I16:K16"/>
    <mergeCell ref="I17:K17"/>
  </mergeCells>
  <phoneticPr fontId="41" type="noConversion"/>
  <pageMargins left="0.70866141732283472" right="0.70866141732283472" top="0.35433070866141736" bottom="0.43307086614173229" header="0.23622047244094491" footer="0.31496062992125984"/>
  <pageSetup paperSize="9" scale="33"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pageSetUpPr fitToPage="1"/>
  </sheetPr>
  <dimension ref="B1:AX169"/>
  <sheetViews>
    <sheetView tabSelected="1" zoomScale="80" zoomScaleNormal="80" workbookViewId="0">
      <selection activeCell="O26" sqref="O26"/>
    </sheetView>
  </sheetViews>
  <sheetFormatPr defaultColWidth="8.7109375" defaultRowHeight="15" x14ac:dyDescent="0.25"/>
  <cols>
    <col min="1" max="1" width="1.5703125" style="16" customWidth="1"/>
    <col min="2" max="2" width="26.140625" style="16" customWidth="1"/>
    <col min="3" max="3" width="27.5703125" style="16" customWidth="1"/>
    <col min="4" max="5" width="25.28515625" style="16" customWidth="1"/>
    <col min="6" max="6" width="12.42578125" style="16" customWidth="1"/>
    <col min="7" max="7" width="15.28515625" style="16" customWidth="1"/>
    <col min="8" max="9" width="17.5703125" style="16" customWidth="1"/>
    <col min="10" max="10" width="18.42578125" style="16" customWidth="1"/>
    <col min="11" max="11" width="20.42578125" style="16" customWidth="1"/>
    <col min="12" max="12" width="1.7109375" style="16" customWidth="1"/>
    <col min="13" max="13" width="10.42578125" style="16" customWidth="1"/>
    <col min="14" max="16384" width="8.7109375" style="16"/>
  </cols>
  <sheetData>
    <row r="1" spans="2:50" ht="8.25" customHeight="1" x14ac:dyDescent="0.25"/>
    <row r="2" spans="2:50" ht="21" x14ac:dyDescent="0.35">
      <c r="C2" s="463" t="s">
        <v>643</v>
      </c>
      <c r="D2" s="130"/>
      <c r="E2" s="130"/>
      <c r="F2" s="130"/>
      <c r="G2" s="130"/>
      <c r="H2" s="130"/>
      <c r="I2" s="130"/>
      <c r="J2" s="130"/>
    </row>
    <row r="3" spans="2:50" ht="21" customHeight="1" x14ac:dyDescent="0.25"/>
    <row r="4" spans="2:50" ht="15.75" x14ac:dyDescent="0.3">
      <c r="B4" s="131"/>
      <c r="C4" s="464" t="s">
        <v>431</v>
      </c>
      <c r="D4" s="1388">
        <f>'A. Byggnadsinfo med BBR'!C9</f>
        <v>0</v>
      </c>
      <c r="E4" s="1275"/>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row>
    <row r="5" spans="2:50" ht="15.75" x14ac:dyDescent="0.3">
      <c r="B5" s="131"/>
      <c r="C5" s="464"/>
      <c r="D5" s="464"/>
      <c r="E5" s="464"/>
      <c r="F5" s="464"/>
      <c r="G5" s="464"/>
      <c r="H5" s="464"/>
      <c r="I5" s="464"/>
      <c r="J5" s="464"/>
      <c r="K5" s="464"/>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row>
    <row r="6" spans="2:50" ht="20.25" thickBot="1" x14ac:dyDescent="0.4">
      <c r="B6" s="14" t="s">
        <v>644</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row>
    <row r="7" spans="2:50" ht="32.25" customHeight="1" thickBot="1" x14ac:dyDescent="0.35">
      <c r="B7" s="710" t="s">
        <v>645</v>
      </c>
      <c r="C7" s="711" t="s">
        <v>646</v>
      </c>
      <c r="D7" s="711" t="s">
        <v>647</v>
      </c>
      <c r="E7" s="711" t="s">
        <v>648</v>
      </c>
      <c r="F7" s="711" t="s">
        <v>649</v>
      </c>
      <c r="G7" s="711" t="s">
        <v>650</v>
      </c>
      <c r="H7" s="1410" t="s">
        <v>102</v>
      </c>
      <c r="I7" s="1411"/>
      <c r="J7" s="1411"/>
      <c r="K7" s="1412"/>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row>
    <row r="8" spans="2:50" ht="15.75" x14ac:dyDescent="0.3">
      <c r="B8" s="713"/>
      <c r="C8" s="622"/>
      <c r="D8" s="714"/>
      <c r="E8" s="715"/>
      <c r="F8" s="715"/>
      <c r="G8" s="716"/>
      <c r="H8" s="1416"/>
      <c r="I8" s="1417"/>
      <c r="J8" s="1417"/>
      <c r="K8" s="1418"/>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row>
    <row r="9" spans="2:50" ht="15.75" x14ac:dyDescent="0.3">
      <c r="B9" s="717"/>
      <c r="C9" s="617"/>
      <c r="D9" s="718"/>
      <c r="E9" s="719"/>
      <c r="F9" s="719"/>
      <c r="G9" s="720"/>
      <c r="H9" s="1400"/>
      <c r="I9" s="1401"/>
      <c r="J9" s="1401"/>
      <c r="K9" s="1402"/>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row>
    <row r="10" spans="2:50" ht="15.75" x14ac:dyDescent="0.3">
      <c r="B10" s="717"/>
      <c r="C10" s="617"/>
      <c r="D10" s="718"/>
      <c r="E10" s="719"/>
      <c r="F10" s="719"/>
      <c r="G10" s="720"/>
      <c r="H10" s="1400"/>
      <c r="I10" s="1401"/>
      <c r="J10" s="1401"/>
      <c r="K10" s="1402"/>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row>
    <row r="11" spans="2:50" ht="15.75" x14ac:dyDescent="0.3">
      <c r="B11" s="717"/>
      <c r="C11" s="617"/>
      <c r="D11" s="718"/>
      <c r="E11" s="719"/>
      <c r="F11" s="719"/>
      <c r="G11" s="720"/>
      <c r="H11" s="1400"/>
      <c r="I11" s="1401"/>
      <c r="J11" s="1401"/>
      <c r="K11" s="1402"/>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row>
    <row r="12" spans="2:50" ht="15.75" x14ac:dyDescent="0.3">
      <c r="B12" s="717"/>
      <c r="C12" s="617"/>
      <c r="D12" s="718"/>
      <c r="E12" s="719"/>
      <c r="F12" s="719"/>
      <c r="G12" s="720"/>
      <c r="H12" s="1400"/>
      <c r="I12" s="1401"/>
      <c r="J12" s="1401"/>
      <c r="K12" s="1402"/>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row>
    <row r="13" spans="2:50" ht="16.5" thickBot="1" x14ac:dyDescent="0.35">
      <c r="B13" s="721"/>
      <c r="C13" s="631"/>
      <c r="D13" s="722"/>
      <c r="E13" s="723"/>
      <c r="F13" s="723"/>
      <c r="G13" s="724"/>
      <c r="H13" s="1403"/>
      <c r="I13" s="1404"/>
      <c r="J13" s="1404"/>
      <c r="K13" s="1405"/>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row>
    <row r="14" spans="2:50" ht="15.75" x14ac:dyDescent="0.3">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row>
    <row r="15" spans="2:50" ht="20.25" thickBot="1" x14ac:dyDescent="0.4">
      <c r="B15" s="712" t="s">
        <v>651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row>
    <row r="16" spans="2:50" ht="32.25" customHeight="1" thickBot="1" x14ac:dyDescent="0.35">
      <c r="B16" s="710" t="s">
        <v>645</v>
      </c>
      <c r="C16" s="711" t="s">
        <v>652</v>
      </c>
      <c r="D16" s="711" t="s">
        <v>647</v>
      </c>
      <c r="E16" s="711" t="s">
        <v>648</v>
      </c>
      <c r="F16" s="711" t="s">
        <v>649</v>
      </c>
      <c r="G16" s="711" t="s">
        <v>650</v>
      </c>
      <c r="H16" s="1406" t="s">
        <v>102</v>
      </c>
      <c r="I16" s="1170"/>
      <c r="J16" s="1170"/>
      <c r="K16" s="117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row>
    <row r="17" spans="2:50" ht="15.75" x14ac:dyDescent="0.3">
      <c r="B17" s="713"/>
      <c r="C17" s="622"/>
      <c r="D17" s="714"/>
      <c r="E17" s="715"/>
      <c r="F17" s="715"/>
      <c r="G17" s="716"/>
      <c r="H17" s="1407"/>
      <c r="I17" s="1408"/>
      <c r="J17" s="1408"/>
      <c r="K17" s="1409"/>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row>
    <row r="18" spans="2:50" ht="15.75" x14ac:dyDescent="0.3">
      <c r="B18" s="717"/>
      <c r="C18" s="617"/>
      <c r="D18" s="718"/>
      <c r="E18" s="719"/>
      <c r="F18" s="719"/>
      <c r="G18" s="720"/>
      <c r="H18" s="1400"/>
      <c r="I18" s="1401"/>
      <c r="J18" s="1401"/>
      <c r="K18" s="1402"/>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row>
    <row r="19" spans="2:50" ht="15.75" x14ac:dyDescent="0.3">
      <c r="B19" s="717"/>
      <c r="C19" s="617"/>
      <c r="D19" s="718"/>
      <c r="E19" s="719"/>
      <c r="F19" s="719"/>
      <c r="G19" s="720"/>
      <c r="H19" s="1400"/>
      <c r="I19" s="1401"/>
      <c r="J19" s="1401"/>
      <c r="K19" s="1402"/>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row>
    <row r="20" spans="2:50" ht="15.75" x14ac:dyDescent="0.3">
      <c r="B20" s="717"/>
      <c r="C20" s="617"/>
      <c r="D20" s="718"/>
      <c r="E20" s="719"/>
      <c r="F20" s="719"/>
      <c r="G20" s="720"/>
      <c r="H20" s="1400"/>
      <c r="I20" s="1401"/>
      <c r="J20" s="1401"/>
      <c r="K20" s="1402"/>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row>
    <row r="21" spans="2:50" ht="15.75" x14ac:dyDescent="0.3">
      <c r="B21" s="717"/>
      <c r="C21" s="617"/>
      <c r="D21" s="718"/>
      <c r="E21" s="719"/>
      <c r="F21" s="719"/>
      <c r="G21" s="720"/>
      <c r="H21" s="1400"/>
      <c r="I21" s="1401"/>
      <c r="J21" s="1401"/>
      <c r="K21" s="1402"/>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row>
    <row r="22" spans="2:50" ht="15.75" x14ac:dyDescent="0.3">
      <c r="B22" s="717"/>
      <c r="C22" s="617"/>
      <c r="D22" s="718"/>
      <c r="E22" s="719"/>
      <c r="F22" s="719"/>
      <c r="G22" s="720"/>
      <c r="H22" s="1400"/>
      <c r="I22" s="1401"/>
      <c r="J22" s="1401"/>
      <c r="K22" s="1402"/>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row>
    <row r="23" spans="2:50" ht="15.75" x14ac:dyDescent="0.3">
      <c r="B23" s="717"/>
      <c r="C23" s="617"/>
      <c r="D23" s="718"/>
      <c r="E23" s="719"/>
      <c r="F23" s="719"/>
      <c r="G23" s="720"/>
      <c r="H23" s="1400"/>
      <c r="I23" s="1401"/>
      <c r="J23" s="1401"/>
      <c r="K23" s="1402"/>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row>
    <row r="24" spans="2:50" ht="16.5" thickBot="1" x14ac:dyDescent="0.35">
      <c r="B24" s="721"/>
      <c r="C24" s="631"/>
      <c r="D24" s="722"/>
      <c r="E24" s="723"/>
      <c r="F24" s="723"/>
      <c r="G24" s="724"/>
      <c r="H24" s="1403"/>
      <c r="I24" s="1404"/>
      <c r="J24" s="1404"/>
      <c r="K24" s="1405"/>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row>
    <row r="25" spans="2:50" ht="15.75" x14ac:dyDescent="0.3">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row>
    <row r="26" spans="2:50" ht="17.25" customHeight="1" thickBot="1" x14ac:dyDescent="0.4">
      <c r="B26" s="712" t="s">
        <v>653</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row>
    <row r="27" spans="2:50" ht="31.5" customHeight="1" thickBot="1" x14ac:dyDescent="0.35">
      <c r="B27" s="710" t="s">
        <v>645</v>
      </c>
      <c r="C27" s="711" t="s">
        <v>652</v>
      </c>
      <c r="D27" s="711" t="s">
        <v>647</v>
      </c>
      <c r="E27" s="711" t="s">
        <v>648</v>
      </c>
      <c r="F27" s="711" t="s">
        <v>649</v>
      </c>
      <c r="G27" s="711" t="s">
        <v>654</v>
      </c>
      <c r="H27" s="711" t="s">
        <v>650</v>
      </c>
      <c r="I27" s="1406" t="s">
        <v>102</v>
      </c>
      <c r="J27" s="1419"/>
      <c r="K27" s="1420"/>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row>
    <row r="28" spans="2:50" ht="15.75" x14ac:dyDescent="0.3">
      <c r="B28" s="725"/>
      <c r="C28" s="621"/>
      <c r="D28" s="726"/>
      <c r="E28" s="726"/>
      <c r="F28" s="726"/>
      <c r="G28" s="680"/>
      <c r="H28" s="680"/>
      <c r="I28" s="1413"/>
      <c r="J28" s="1414"/>
      <c r="K28" s="1415"/>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row>
    <row r="29" spans="2:50" ht="15.75" x14ac:dyDescent="0.3">
      <c r="B29" s="717"/>
      <c r="C29" s="617"/>
      <c r="D29" s="718"/>
      <c r="E29" s="718"/>
      <c r="F29" s="718"/>
      <c r="G29" s="681"/>
      <c r="H29" s="681"/>
      <c r="I29" s="1394"/>
      <c r="J29" s="1395"/>
      <c r="K29" s="1396"/>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row>
    <row r="30" spans="2:50" ht="15.75" x14ac:dyDescent="0.3">
      <c r="B30" s="717"/>
      <c r="C30" s="617"/>
      <c r="D30" s="718"/>
      <c r="E30" s="718"/>
      <c r="F30" s="718"/>
      <c r="G30" s="681"/>
      <c r="H30" s="681"/>
      <c r="I30" s="1394"/>
      <c r="J30" s="1395"/>
      <c r="K30" s="1396"/>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row>
    <row r="31" spans="2:50" ht="15.75" x14ac:dyDescent="0.3">
      <c r="B31" s="717"/>
      <c r="C31" s="617"/>
      <c r="D31" s="718"/>
      <c r="E31" s="718"/>
      <c r="F31" s="718"/>
      <c r="G31" s="681"/>
      <c r="H31" s="681"/>
      <c r="I31" s="1394"/>
      <c r="J31" s="1395"/>
      <c r="K31" s="1396"/>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row>
    <row r="32" spans="2:50" ht="15.75" x14ac:dyDescent="0.3">
      <c r="B32" s="717"/>
      <c r="C32" s="617"/>
      <c r="D32" s="718"/>
      <c r="E32" s="718"/>
      <c r="F32" s="718"/>
      <c r="G32" s="681"/>
      <c r="H32" s="681"/>
      <c r="I32" s="1394"/>
      <c r="J32" s="1395"/>
      <c r="K32" s="1396"/>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row>
    <row r="33" spans="2:50" ht="15.75" customHeight="1" x14ac:dyDescent="0.3">
      <c r="B33" s="717"/>
      <c r="C33" s="617"/>
      <c r="D33" s="718"/>
      <c r="E33" s="718"/>
      <c r="F33" s="718"/>
      <c r="G33" s="681"/>
      <c r="H33" s="681"/>
      <c r="I33" s="1394"/>
      <c r="J33" s="1395"/>
      <c r="K33" s="1396"/>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row>
    <row r="34" spans="2:50" ht="15.75" x14ac:dyDescent="0.3">
      <c r="B34" s="717"/>
      <c r="C34" s="617"/>
      <c r="D34" s="718"/>
      <c r="E34" s="718"/>
      <c r="F34" s="718"/>
      <c r="G34" s="681"/>
      <c r="H34" s="681"/>
      <c r="I34" s="1394"/>
      <c r="J34" s="1395"/>
      <c r="K34" s="1396"/>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row>
    <row r="35" spans="2:50" ht="15.75" x14ac:dyDescent="0.3">
      <c r="B35" s="717"/>
      <c r="C35" s="617"/>
      <c r="D35" s="718"/>
      <c r="E35" s="718"/>
      <c r="F35" s="718"/>
      <c r="G35" s="681"/>
      <c r="H35" s="681"/>
      <c r="I35" s="1394"/>
      <c r="J35" s="1395"/>
      <c r="K35" s="1396"/>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2:50" ht="15.75" x14ac:dyDescent="0.3">
      <c r="B36" s="717"/>
      <c r="C36" s="617"/>
      <c r="D36" s="718"/>
      <c r="E36" s="718"/>
      <c r="F36" s="718"/>
      <c r="G36" s="681"/>
      <c r="H36" s="681"/>
      <c r="I36" s="1394"/>
      <c r="J36" s="1395"/>
      <c r="K36" s="1396"/>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row>
    <row r="37" spans="2:50" ht="15.75" x14ac:dyDescent="0.3">
      <c r="B37" s="717"/>
      <c r="C37" s="617"/>
      <c r="D37" s="718"/>
      <c r="E37" s="718"/>
      <c r="F37" s="718"/>
      <c r="G37" s="681"/>
      <c r="H37" s="681"/>
      <c r="I37" s="1394"/>
      <c r="J37" s="1395"/>
      <c r="K37" s="1396"/>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row>
    <row r="38" spans="2:50" ht="16.5" thickBot="1" x14ac:dyDescent="0.35">
      <c r="B38" s="721"/>
      <c r="C38" s="631"/>
      <c r="D38" s="722"/>
      <c r="E38" s="722"/>
      <c r="F38" s="722"/>
      <c r="G38" s="677"/>
      <c r="H38" s="677"/>
      <c r="I38" s="1397"/>
      <c r="J38" s="1398"/>
      <c r="K38" s="1399"/>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row>
    <row r="39" spans="2:50" ht="15.75" x14ac:dyDescent="0.3">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row>
    <row r="40" spans="2:50" ht="15.75" x14ac:dyDescent="0.3">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row>
    <row r="41" spans="2:50" ht="15.75" x14ac:dyDescent="0.3">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row>
    <row r="42" spans="2:50" ht="15.75" x14ac:dyDescent="0.3">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row>
    <row r="43" spans="2:50" ht="15.75" x14ac:dyDescent="0.3">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row>
    <row r="44" spans="2:50" ht="7.5" customHeight="1" x14ac:dyDescent="0.3">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row>
    <row r="45" spans="2:50" ht="15.75" x14ac:dyDescent="0.3">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row>
    <row r="46" spans="2:50" ht="15.75" x14ac:dyDescent="0.3">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row>
    <row r="47" spans="2:50" ht="15.75" x14ac:dyDescent="0.3">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row>
    <row r="48" spans="2:50" ht="15.75" x14ac:dyDescent="0.3">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row>
    <row r="49" spans="2:50" ht="15.75" x14ac:dyDescent="0.3">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row>
    <row r="50" spans="2:50" ht="15.75" x14ac:dyDescent="0.3">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row>
    <row r="51" spans="2:50" ht="15.75" x14ac:dyDescent="0.3">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row>
    <row r="52" spans="2:50" ht="15.75" x14ac:dyDescent="0.3">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row>
    <row r="53" spans="2:50" ht="15.75" x14ac:dyDescent="0.3">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row>
    <row r="54" spans="2:50" ht="15.75" x14ac:dyDescent="0.3">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row>
    <row r="55" spans="2:50" ht="15.75" x14ac:dyDescent="0.3">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row>
    <row r="56" spans="2:50" ht="15.75" x14ac:dyDescent="0.3">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row>
    <row r="57" spans="2:50" ht="15.75" x14ac:dyDescent="0.3">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row>
    <row r="58" spans="2:50" ht="15.75" x14ac:dyDescent="0.3">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row>
    <row r="59" spans="2:50" ht="15.75" x14ac:dyDescent="0.3">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row>
    <row r="60" spans="2:50" ht="15.75" x14ac:dyDescent="0.3">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row>
    <row r="61" spans="2:50" ht="15.75" x14ac:dyDescent="0.3">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row>
    <row r="62" spans="2:50" ht="15.75" x14ac:dyDescent="0.3">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row>
    <row r="63" spans="2:50" ht="15.75" x14ac:dyDescent="0.3">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row>
    <row r="64" spans="2:50" ht="15.75" x14ac:dyDescent="0.3">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row>
    <row r="65" spans="2:50" ht="15.75" x14ac:dyDescent="0.3">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row>
    <row r="66" spans="2:50" ht="15.75" x14ac:dyDescent="0.3">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row>
    <row r="67" spans="2:50" ht="15.75" x14ac:dyDescent="0.3">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row>
    <row r="68" spans="2:50" ht="15.75" x14ac:dyDescent="0.3">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row>
    <row r="69" spans="2:50" ht="15.75" x14ac:dyDescent="0.3">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row>
    <row r="70" spans="2:50" ht="15.75" x14ac:dyDescent="0.3">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row>
    <row r="71" spans="2:50" ht="15.75" x14ac:dyDescent="0.3">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row>
    <row r="72" spans="2:50" ht="15.75" x14ac:dyDescent="0.3">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row>
    <row r="73" spans="2:50" ht="15.75" x14ac:dyDescent="0.3">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row>
    <row r="74" spans="2:50" ht="15.75" x14ac:dyDescent="0.3">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row>
    <row r="75" spans="2:50" ht="15.75" x14ac:dyDescent="0.3">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row>
    <row r="76" spans="2:50" ht="15.75" x14ac:dyDescent="0.3">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row>
    <row r="77" spans="2:50" ht="15.75" x14ac:dyDescent="0.3">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row>
    <row r="78" spans="2:50" ht="15.75" x14ac:dyDescent="0.3">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row>
    <row r="79" spans="2:50" ht="15.75" x14ac:dyDescent="0.3">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row>
    <row r="80" spans="2:50" ht="15.75" x14ac:dyDescent="0.3">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row>
    <row r="81" spans="2:50" ht="15.75" x14ac:dyDescent="0.3">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row>
    <row r="82" spans="2:50" ht="15.75" x14ac:dyDescent="0.3">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row>
    <row r="83" spans="2:50" ht="15.75" x14ac:dyDescent="0.3">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row>
    <row r="84" spans="2:50" ht="15.75" x14ac:dyDescent="0.3">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row>
    <row r="85" spans="2:50" ht="15.75" x14ac:dyDescent="0.3">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row>
    <row r="86" spans="2:50" ht="15.75" x14ac:dyDescent="0.3">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row>
    <row r="87" spans="2:50" ht="15.75" x14ac:dyDescent="0.3">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row>
    <row r="88" spans="2:50" ht="15.75" x14ac:dyDescent="0.3">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row>
    <row r="89" spans="2:50" ht="15.75" x14ac:dyDescent="0.3">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row>
    <row r="90" spans="2:50" ht="15.75" x14ac:dyDescent="0.3">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row>
    <row r="91" spans="2:50" ht="15.75" x14ac:dyDescent="0.3">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row>
    <row r="92" spans="2:50" ht="15.75" x14ac:dyDescent="0.3">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row>
    <row r="93" spans="2:50" ht="15.75" x14ac:dyDescent="0.3">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row>
    <row r="94" spans="2:50" ht="15.75" x14ac:dyDescent="0.3">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row>
    <row r="95" spans="2:50" ht="15.75" x14ac:dyDescent="0.3">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row>
    <row r="96" spans="2:50" ht="15.75" x14ac:dyDescent="0.3">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row>
    <row r="97" spans="2:50" ht="15.75" x14ac:dyDescent="0.3">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row>
    <row r="98" spans="2:50" ht="15.75" x14ac:dyDescent="0.3">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row>
    <row r="99" spans="2:50" ht="15.75" x14ac:dyDescent="0.3">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row>
    <row r="100" spans="2:50" ht="15.75" x14ac:dyDescent="0.3">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row>
    <row r="101" spans="2:50" ht="15.75" x14ac:dyDescent="0.3">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row>
    <row r="102" spans="2:50" ht="15.75" x14ac:dyDescent="0.3">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row>
    <row r="103" spans="2:50" ht="15.75" x14ac:dyDescent="0.3">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row>
    <row r="104" spans="2:50" ht="15.75" x14ac:dyDescent="0.3">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row>
    <row r="105" spans="2:50" ht="15.75" x14ac:dyDescent="0.3">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row>
    <row r="106" spans="2:50" ht="15.75" x14ac:dyDescent="0.3">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row>
    <row r="107" spans="2:50" ht="15.75" x14ac:dyDescent="0.3">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row>
    <row r="108" spans="2:50" ht="15.75" x14ac:dyDescent="0.3">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row>
    <row r="109" spans="2:50" ht="15.75" x14ac:dyDescent="0.3">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row>
    <row r="110" spans="2:50" ht="15.75" x14ac:dyDescent="0.3">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row>
    <row r="111" spans="2:50" ht="15.75" x14ac:dyDescent="0.3">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row>
    <row r="112" spans="2:50" ht="15.75" x14ac:dyDescent="0.3">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row>
    <row r="113" spans="2:50" ht="15.75" x14ac:dyDescent="0.3">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row>
    <row r="114" spans="2:50" ht="15.75" x14ac:dyDescent="0.3">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row>
    <row r="115" spans="2:50" ht="15.75" x14ac:dyDescent="0.3">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row>
    <row r="116" spans="2:50" ht="15.75" x14ac:dyDescent="0.3">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row>
    <row r="117" spans="2:50" ht="15.75" x14ac:dyDescent="0.3">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row>
    <row r="118" spans="2:50" ht="15.75" x14ac:dyDescent="0.3">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row>
    <row r="119" spans="2:50" ht="15.75" x14ac:dyDescent="0.3">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row>
    <row r="120" spans="2:50" ht="15.75" x14ac:dyDescent="0.3">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row>
    <row r="121" spans="2:50" ht="15.75" x14ac:dyDescent="0.3">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row>
    <row r="122" spans="2:50" ht="15.75" x14ac:dyDescent="0.3">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row>
    <row r="123" spans="2:50" ht="15.75" x14ac:dyDescent="0.3">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row>
    <row r="124" spans="2:50" ht="15.75" x14ac:dyDescent="0.3">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row>
    <row r="125" spans="2:50" ht="15.75" x14ac:dyDescent="0.3">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row>
    <row r="126" spans="2:50" ht="15.75" x14ac:dyDescent="0.3">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row>
    <row r="127" spans="2:50" ht="15.75" x14ac:dyDescent="0.3">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row>
    <row r="128" spans="2:50" ht="15.75" x14ac:dyDescent="0.3">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row>
    <row r="129" spans="2:50" ht="15.75" x14ac:dyDescent="0.3">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row>
    <row r="130" spans="2:50" ht="15.75" x14ac:dyDescent="0.3">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row>
    <row r="131" spans="2:50" ht="15.75" x14ac:dyDescent="0.3">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row>
    <row r="132" spans="2:50" ht="15.75" x14ac:dyDescent="0.3">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row>
    <row r="133" spans="2:50" ht="15.75" x14ac:dyDescent="0.3">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row>
    <row r="134" spans="2:50" ht="15.75" x14ac:dyDescent="0.3">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row>
    <row r="135" spans="2:50" ht="15.75" x14ac:dyDescent="0.3">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row>
    <row r="136" spans="2:50" ht="15.75" x14ac:dyDescent="0.3">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row>
    <row r="137" spans="2:50" ht="15.75" x14ac:dyDescent="0.3">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row>
    <row r="138" spans="2:50" ht="15.75" x14ac:dyDescent="0.3">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row>
    <row r="139" spans="2:50" ht="15.75" x14ac:dyDescent="0.3">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row>
    <row r="140" spans="2:50" ht="15.75" x14ac:dyDescent="0.3">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row>
    <row r="141" spans="2:50" ht="15.75" x14ac:dyDescent="0.3">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row>
    <row r="142" spans="2:50" ht="15.75" x14ac:dyDescent="0.3">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row>
    <row r="143" spans="2:50" ht="15.75" x14ac:dyDescent="0.3">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row>
    <row r="144" spans="2:50" ht="15.75" x14ac:dyDescent="0.3">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row>
    <row r="145" spans="2:50" ht="15.75" x14ac:dyDescent="0.3">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row>
    <row r="146" spans="2:50" ht="15.75" x14ac:dyDescent="0.3">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row>
    <row r="147" spans="2:50" ht="15.75" x14ac:dyDescent="0.3">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row>
    <row r="148" spans="2:50" ht="15.75" x14ac:dyDescent="0.3">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row>
    <row r="149" spans="2:50" ht="15.75" x14ac:dyDescent="0.3">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row>
    <row r="150" spans="2:50" ht="15.75" x14ac:dyDescent="0.3">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row>
    <row r="151" spans="2:50" ht="15.75" x14ac:dyDescent="0.3">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row>
    <row r="152" spans="2:50" ht="15.75" x14ac:dyDescent="0.3">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row>
    <row r="153" spans="2:50" ht="15.75" x14ac:dyDescent="0.3">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row>
    <row r="154" spans="2:50" ht="15.75" x14ac:dyDescent="0.3">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row>
    <row r="155" spans="2:50" ht="15.75" x14ac:dyDescent="0.3">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row>
    <row r="156" spans="2:50" ht="15.75" x14ac:dyDescent="0.3">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row>
    <row r="157" spans="2:50" ht="15.75" x14ac:dyDescent="0.3">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row>
    <row r="158" spans="2:50" ht="15.75" x14ac:dyDescent="0.3">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row>
    <row r="159" spans="2:50" ht="15.75" x14ac:dyDescent="0.3">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row>
    <row r="160" spans="2:50" ht="15.75" x14ac:dyDescent="0.3">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row>
    <row r="161" spans="2:50" ht="15.75" x14ac:dyDescent="0.3">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row>
    <row r="162" spans="2:50" ht="15.75" x14ac:dyDescent="0.3">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row>
    <row r="163" spans="2:50" ht="15.75" x14ac:dyDescent="0.3">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row>
    <row r="164" spans="2:50" ht="15.75" x14ac:dyDescent="0.3">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row>
    <row r="165" spans="2:50" ht="15.75" x14ac:dyDescent="0.3">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row>
    <row r="166" spans="2:50" ht="15.75" x14ac:dyDescent="0.3">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row>
    <row r="167" spans="2:50" ht="15.75" x14ac:dyDescent="0.3">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row>
    <row r="168" spans="2:50" ht="15.75" x14ac:dyDescent="0.3">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row>
    <row r="169" spans="2:50" ht="15.75" x14ac:dyDescent="0.3">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row>
  </sheetData>
  <mergeCells count="29">
    <mergeCell ref="H8:K8"/>
    <mergeCell ref="H9:K9"/>
    <mergeCell ref="H10:K10"/>
    <mergeCell ref="H11:K11"/>
    <mergeCell ref="I27:K27"/>
    <mergeCell ref="I28:K28"/>
    <mergeCell ref="H21:K21"/>
    <mergeCell ref="H22:K22"/>
    <mergeCell ref="H18:K18"/>
    <mergeCell ref="H23:K23"/>
    <mergeCell ref="H24:K24"/>
    <mergeCell ref="H19:K19"/>
    <mergeCell ref="H20:K20"/>
    <mergeCell ref="I35:K35"/>
    <mergeCell ref="I36:K36"/>
    <mergeCell ref="I37:K37"/>
    <mergeCell ref="I38:K38"/>
    <mergeCell ref="D4:E4"/>
    <mergeCell ref="H12:K12"/>
    <mergeCell ref="H13:K13"/>
    <mergeCell ref="H16:K16"/>
    <mergeCell ref="H17:K17"/>
    <mergeCell ref="H7:K7"/>
    <mergeCell ref="I29:K29"/>
    <mergeCell ref="I30:K30"/>
    <mergeCell ref="I31:K31"/>
    <mergeCell ref="I32:K32"/>
    <mergeCell ref="I33:K33"/>
    <mergeCell ref="I34:K34"/>
  </mergeCells>
  <pageMargins left="0.53" right="0.70866141732283472" top="0.74803149606299213" bottom="0.74803149606299213" header="0.31496062992125984" footer="0.31496062992125984"/>
  <pageSetup paperSize="9" scale="5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4ADD-20BB-4F1C-AA79-108CA193D261}">
  <sheetPr codeName="Blad12">
    <tabColor theme="0"/>
  </sheetPr>
  <dimension ref="A2:I292"/>
  <sheetViews>
    <sheetView workbookViewId="0">
      <selection activeCell="E8" sqref="E8"/>
    </sheetView>
  </sheetViews>
  <sheetFormatPr defaultRowHeight="15" x14ac:dyDescent="0.25"/>
  <cols>
    <col min="1" max="2" width="20" customWidth="1"/>
    <col min="5" max="5" width="10.7109375" bestFit="1" customWidth="1"/>
  </cols>
  <sheetData>
    <row r="2" spans="1:8" ht="30.95" customHeight="1" x14ac:dyDescent="0.25">
      <c r="A2" s="1" t="s">
        <v>655</v>
      </c>
      <c r="B2" s="1" t="s">
        <v>143</v>
      </c>
      <c r="E2" t="s">
        <v>656</v>
      </c>
      <c r="G2" t="s">
        <v>657</v>
      </c>
    </row>
    <row r="3" spans="1:8" ht="14.45" customHeight="1" x14ac:dyDescent="0.25">
      <c r="A3" s="2" t="s">
        <v>658</v>
      </c>
      <c r="B3" s="2">
        <v>1</v>
      </c>
      <c r="E3" t="s">
        <v>638</v>
      </c>
      <c r="G3" t="s">
        <v>474</v>
      </c>
    </row>
    <row r="4" spans="1:8" ht="14.45" customHeight="1" x14ac:dyDescent="0.25">
      <c r="A4" s="2" t="s">
        <v>659</v>
      </c>
      <c r="B4" s="2">
        <v>1</v>
      </c>
      <c r="E4" t="s">
        <v>473</v>
      </c>
      <c r="G4" t="s">
        <v>472</v>
      </c>
    </row>
    <row r="5" spans="1:8" ht="14.45" customHeight="1" x14ac:dyDescent="0.25">
      <c r="A5" s="2" t="s">
        <v>660</v>
      </c>
      <c r="B5" s="2">
        <v>1</v>
      </c>
      <c r="E5" t="s">
        <v>661</v>
      </c>
      <c r="G5" t="s">
        <v>58</v>
      </c>
    </row>
    <row r="6" spans="1:8" ht="14.45" customHeight="1" x14ac:dyDescent="0.25">
      <c r="A6" s="2" t="s">
        <v>662</v>
      </c>
      <c r="B6" s="2">
        <v>1</v>
      </c>
      <c r="E6" t="s">
        <v>464</v>
      </c>
      <c r="G6" t="s">
        <v>663</v>
      </c>
    </row>
    <row r="7" spans="1:8" ht="14.45" customHeight="1" x14ac:dyDescent="0.25">
      <c r="A7" s="2" t="s">
        <v>664</v>
      </c>
      <c r="B7" s="2">
        <v>1</v>
      </c>
      <c r="G7" t="s">
        <v>468</v>
      </c>
    </row>
    <row r="8" spans="1:8" ht="14.45" customHeight="1" x14ac:dyDescent="0.25">
      <c r="A8" s="2" t="s">
        <v>665</v>
      </c>
      <c r="B8" s="2">
        <v>1.7</v>
      </c>
    </row>
    <row r="9" spans="1:8" ht="14.45" customHeight="1" x14ac:dyDescent="0.25">
      <c r="A9" s="2" t="s">
        <v>666</v>
      </c>
      <c r="B9" s="2">
        <v>1.6</v>
      </c>
    </row>
    <row r="10" spans="1:8" ht="14.45" customHeight="1" x14ac:dyDescent="0.25">
      <c r="A10" s="2" t="s">
        <v>667</v>
      </c>
      <c r="B10" s="2">
        <v>1.1000000000000001</v>
      </c>
    </row>
    <row r="11" spans="1:8" ht="14.45" customHeight="1" x14ac:dyDescent="0.25">
      <c r="A11" s="2" t="s">
        <v>668</v>
      </c>
      <c r="B11" s="2">
        <v>1.1000000000000001</v>
      </c>
    </row>
    <row r="12" spans="1:8" ht="14.45" customHeight="1" x14ac:dyDescent="0.25">
      <c r="A12" s="2" t="s">
        <v>669</v>
      </c>
      <c r="B12" s="2">
        <v>1.1000000000000001</v>
      </c>
    </row>
    <row r="13" spans="1:8" ht="14.45" customHeight="1" x14ac:dyDescent="0.25">
      <c r="A13" s="2" t="s">
        <v>670</v>
      </c>
      <c r="B13" s="2">
        <v>1</v>
      </c>
      <c r="H13" s="3" t="s">
        <v>671</v>
      </c>
    </row>
    <row r="14" spans="1:8" ht="14.45" customHeight="1" x14ac:dyDescent="0.25">
      <c r="A14" s="2" t="s">
        <v>58</v>
      </c>
      <c r="B14" s="2">
        <v>1.4</v>
      </c>
    </row>
    <row r="15" spans="1:8" ht="14.45" customHeight="1" x14ac:dyDescent="0.25">
      <c r="A15" s="2" t="s">
        <v>672</v>
      </c>
      <c r="B15" s="2">
        <v>1.4</v>
      </c>
    </row>
    <row r="16" spans="1:8" ht="14.45" customHeight="1" x14ac:dyDescent="0.25">
      <c r="A16" s="2" t="s">
        <v>673</v>
      </c>
      <c r="B16" s="2">
        <v>0.9</v>
      </c>
    </row>
    <row r="17" spans="1:9" ht="14.45" customHeight="1" x14ac:dyDescent="0.25">
      <c r="A17" s="2" t="s">
        <v>674</v>
      </c>
      <c r="B17" s="2">
        <v>1.5</v>
      </c>
    </row>
    <row r="18" spans="1:9" ht="14.45" customHeight="1" x14ac:dyDescent="0.25">
      <c r="A18" s="2" t="s">
        <v>675</v>
      </c>
      <c r="B18" s="2">
        <v>1</v>
      </c>
      <c r="E18" t="s">
        <v>676</v>
      </c>
      <c r="F18" s="4"/>
      <c r="G18" t="s">
        <v>677</v>
      </c>
      <c r="H18" t="s">
        <v>678</v>
      </c>
      <c r="I18" t="s">
        <v>679</v>
      </c>
    </row>
    <row r="19" spans="1:9" ht="14.45" customHeight="1" x14ac:dyDescent="0.25">
      <c r="A19" s="2" t="s">
        <v>680</v>
      </c>
      <c r="B19" s="2">
        <v>1.2</v>
      </c>
      <c r="E19" t="s">
        <v>681</v>
      </c>
      <c r="G19" t="s">
        <v>682</v>
      </c>
      <c r="H19" t="s">
        <v>683</v>
      </c>
    </row>
    <row r="20" spans="1:9" ht="14.45" customHeight="1" x14ac:dyDescent="0.25">
      <c r="A20" s="2" t="s">
        <v>684</v>
      </c>
      <c r="B20" s="2">
        <v>0.9</v>
      </c>
      <c r="E20" t="s">
        <v>685</v>
      </c>
      <c r="G20" t="s">
        <v>686</v>
      </c>
      <c r="H20" t="s">
        <v>687</v>
      </c>
    </row>
    <row r="21" spans="1:9" ht="14.45" customHeight="1" x14ac:dyDescent="0.25">
      <c r="A21" s="2" t="s">
        <v>688</v>
      </c>
      <c r="B21" s="2">
        <v>1.2</v>
      </c>
      <c r="E21" t="s">
        <v>689</v>
      </c>
      <c r="G21">
        <v>29</v>
      </c>
      <c r="H21">
        <v>25</v>
      </c>
    </row>
    <row r="22" spans="1:9" ht="14.45" customHeight="1" x14ac:dyDescent="0.25">
      <c r="A22" s="2" t="s">
        <v>690</v>
      </c>
      <c r="B22" s="2">
        <v>1</v>
      </c>
    </row>
    <row r="23" spans="1:9" ht="14.45" customHeight="1" x14ac:dyDescent="0.25">
      <c r="A23" s="2" t="s">
        <v>691</v>
      </c>
      <c r="B23" s="2">
        <v>1</v>
      </c>
    </row>
    <row r="24" spans="1:9" ht="14.45" customHeight="1" x14ac:dyDescent="0.25">
      <c r="A24" s="2" t="s">
        <v>692</v>
      </c>
      <c r="B24" s="2">
        <v>1</v>
      </c>
    </row>
    <row r="25" spans="1:9" ht="14.45" customHeight="1" x14ac:dyDescent="0.25">
      <c r="A25" s="2" t="s">
        <v>693</v>
      </c>
      <c r="B25" s="2">
        <v>0.9</v>
      </c>
    </row>
    <row r="26" spans="1:9" ht="14.45" customHeight="1" x14ac:dyDescent="0.25">
      <c r="A26" s="2" t="s">
        <v>694</v>
      </c>
      <c r="B26" s="2">
        <v>1.4</v>
      </c>
    </row>
    <row r="27" spans="1:9" ht="14.45" customHeight="1" x14ac:dyDescent="0.25">
      <c r="A27" s="2" t="s">
        <v>695</v>
      </c>
      <c r="B27" s="2">
        <v>0.9</v>
      </c>
    </row>
    <row r="28" spans="1:9" ht="14.45" customHeight="1" x14ac:dyDescent="0.25">
      <c r="A28" s="2" t="s">
        <v>696</v>
      </c>
      <c r="B28" s="2">
        <v>0.9</v>
      </c>
    </row>
    <row r="29" spans="1:9" ht="14.45" customHeight="1" x14ac:dyDescent="0.25">
      <c r="A29" s="2" t="s">
        <v>697</v>
      </c>
      <c r="B29" s="2">
        <v>1</v>
      </c>
    </row>
    <row r="30" spans="1:9" ht="14.45" customHeight="1" x14ac:dyDescent="0.25">
      <c r="A30" s="2" t="s">
        <v>698</v>
      </c>
      <c r="B30" s="2">
        <v>1</v>
      </c>
    </row>
    <row r="31" spans="1:9" ht="14.45" customHeight="1" x14ac:dyDescent="0.25">
      <c r="A31" s="2" t="s">
        <v>699</v>
      </c>
      <c r="B31" s="2">
        <v>1.1000000000000001</v>
      </c>
    </row>
    <row r="32" spans="1:9" ht="14.45" customHeight="1" x14ac:dyDescent="0.25">
      <c r="A32" s="2" t="s">
        <v>700</v>
      </c>
      <c r="B32" s="2">
        <v>1.5</v>
      </c>
    </row>
    <row r="33" spans="1:2" ht="14.45" customHeight="1" x14ac:dyDescent="0.25">
      <c r="A33" s="2" t="s">
        <v>701</v>
      </c>
      <c r="B33" s="2">
        <v>1.1000000000000001</v>
      </c>
    </row>
    <row r="34" spans="1:2" ht="14.45" customHeight="1" x14ac:dyDescent="0.25">
      <c r="A34" s="2" t="s">
        <v>702</v>
      </c>
      <c r="B34" s="2">
        <v>1</v>
      </c>
    </row>
    <row r="35" spans="1:2" ht="14.45" customHeight="1" x14ac:dyDescent="0.25">
      <c r="A35" s="2" t="s">
        <v>703</v>
      </c>
      <c r="B35" s="2">
        <v>1.1000000000000001</v>
      </c>
    </row>
    <row r="36" spans="1:2" ht="14.45" customHeight="1" x14ac:dyDescent="0.25">
      <c r="A36" s="2" t="s">
        <v>704</v>
      </c>
      <c r="B36" s="2">
        <v>0.9</v>
      </c>
    </row>
    <row r="37" spans="1:2" ht="14.45" customHeight="1" x14ac:dyDescent="0.25">
      <c r="A37" s="2" t="s">
        <v>705</v>
      </c>
      <c r="B37" s="2">
        <v>1</v>
      </c>
    </row>
    <row r="38" spans="1:2" ht="14.45" customHeight="1" x14ac:dyDescent="0.25">
      <c r="A38" s="2" t="s">
        <v>706</v>
      </c>
      <c r="B38" s="2">
        <v>1</v>
      </c>
    </row>
    <row r="39" spans="1:2" ht="14.45" customHeight="1" x14ac:dyDescent="0.25">
      <c r="A39" s="2" t="s">
        <v>707</v>
      </c>
      <c r="B39" s="2">
        <v>0.9</v>
      </c>
    </row>
    <row r="40" spans="1:2" ht="14.45" customHeight="1" x14ac:dyDescent="0.25">
      <c r="A40" s="2" t="s">
        <v>708</v>
      </c>
      <c r="B40" s="2">
        <v>1</v>
      </c>
    </row>
    <row r="41" spans="1:2" ht="14.45" customHeight="1" x14ac:dyDescent="0.25">
      <c r="A41" s="2" t="s">
        <v>709</v>
      </c>
      <c r="B41" s="2">
        <v>1.1000000000000001</v>
      </c>
    </row>
    <row r="42" spans="1:2" ht="14.45" customHeight="1" x14ac:dyDescent="0.25">
      <c r="A42" s="2" t="s">
        <v>710</v>
      </c>
      <c r="B42" s="2">
        <v>0.9</v>
      </c>
    </row>
    <row r="43" spans="1:2" ht="14.45" customHeight="1" x14ac:dyDescent="0.25">
      <c r="A43" s="2" t="s">
        <v>711</v>
      </c>
      <c r="B43" s="2">
        <v>1</v>
      </c>
    </row>
    <row r="44" spans="1:2" ht="14.45" customHeight="1" x14ac:dyDescent="0.25">
      <c r="A44" s="2" t="s">
        <v>712</v>
      </c>
      <c r="B44" s="2">
        <v>1.2</v>
      </c>
    </row>
    <row r="45" spans="1:2" ht="14.45" customHeight="1" x14ac:dyDescent="0.25">
      <c r="A45" s="2" t="s">
        <v>713</v>
      </c>
      <c r="B45" s="2">
        <v>1.1000000000000001</v>
      </c>
    </row>
    <row r="46" spans="1:2" ht="14.45" customHeight="1" x14ac:dyDescent="0.25">
      <c r="A46" s="2" t="s">
        <v>714</v>
      </c>
      <c r="B46" s="2">
        <v>1</v>
      </c>
    </row>
    <row r="47" spans="1:2" ht="14.45" customHeight="1" x14ac:dyDescent="0.25">
      <c r="A47" s="2" t="s">
        <v>715</v>
      </c>
      <c r="B47" s="2">
        <v>1</v>
      </c>
    </row>
    <row r="48" spans="1:2" ht="14.45" customHeight="1" x14ac:dyDescent="0.25">
      <c r="A48" s="2" t="s">
        <v>716</v>
      </c>
      <c r="B48" s="2">
        <v>1.1000000000000001</v>
      </c>
    </row>
    <row r="49" spans="1:2" ht="14.45" customHeight="1" x14ac:dyDescent="0.25">
      <c r="A49" s="2" t="s">
        <v>717</v>
      </c>
      <c r="B49" s="2">
        <v>1</v>
      </c>
    </row>
    <row r="50" spans="1:2" ht="14.45" customHeight="1" x14ac:dyDescent="0.25">
      <c r="A50" s="2" t="s">
        <v>718</v>
      </c>
      <c r="B50" s="2">
        <v>1.2</v>
      </c>
    </row>
    <row r="51" spans="1:2" ht="14.45" customHeight="1" x14ac:dyDescent="0.25">
      <c r="A51" s="2" t="s">
        <v>719</v>
      </c>
      <c r="B51" s="2">
        <v>1</v>
      </c>
    </row>
    <row r="52" spans="1:2" ht="14.45" customHeight="1" x14ac:dyDescent="0.25">
      <c r="A52" s="2" t="s">
        <v>720</v>
      </c>
      <c r="B52" s="2">
        <v>1</v>
      </c>
    </row>
    <row r="53" spans="1:2" ht="14.45" customHeight="1" x14ac:dyDescent="0.25">
      <c r="A53" s="2" t="s">
        <v>721</v>
      </c>
      <c r="B53" s="2">
        <v>1</v>
      </c>
    </row>
    <row r="54" spans="1:2" ht="14.45" customHeight="1" x14ac:dyDescent="0.25">
      <c r="A54" s="2" t="s">
        <v>722</v>
      </c>
      <c r="B54" s="2">
        <v>0.9</v>
      </c>
    </row>
    <row r="55" spans="1:2" ht="14.45" customHeight="1" x14ac:dyDescent="0.25">
      <c r="A55" s="2" t="s">
        <v>723</v>
      </c>
      <c r="B55" s="2">
        <v>1</v>
      </c>
    </row>
    <row r="56" spans="1:2" ht="14.45" customHeight="1" x14ac:dyDescent="0.25">
      <c r="A56" s="2" t="s">
        <v>724</v>
      </c>
      <c r="B56" s="2">
        <v>1</v>
      </c>
    </row>
    <row r="57" spans="1:2" ht="14.45" customHeight="1" x14ac:dyDescent="0.25">
      <c r="A57" s="2" t="s">
        <v>725</v>
      </c>
      <c r="B57" s="2">
        <v>1</v>
      </c>
    </row>
    <row r="58" spans="1:2" ht="14.45" customHeight="1" x14ac:dyDescent="0.25">
      <c r="A58" s="2" t="s">
        <v>726</v>
      </c>
      <c r="B58" s="2">
        <v>1.9</v>
      </c>
    </row>
    <row r="59" spans="1:2" ht="14.45" customHeight="1" x14ac:dyDescent="0.25">
      <c r="A59" s="2" t="s">
        <v>727</v>
      </c>
      <c r="B59" s="2">
        <v>1.1000000000000001</v>
      </c>
    </row>
    <row r="60" spans="1:2" ht="14.45" customHeight="1" x14ac:dyDescent="0.25">
      <c r="A60" s="2" t="s">
        <v>51</v>
      </c>
      <c r="B60" s="2">
        <v>0.9</v>
      </c>
    </row>
    <row r="61" spans="1:2" ht="14.45" customHeight="1" x14ac:dyDescent="0.25">
      <c r="A61" s="2" t="s">
        <v>728</v>
      </c>
      <c r="B61" s="2">
        <v>1</v>
      </c>
    </row>
    <row r="62" spans="1:2" ht="14.45" customHeight="1" x14ac:dyDescent="0.25">
      <c r="A62" s="2" t="s">
        <v>729</v>
      </c>
      <c r="B62" s="2">
        <v>1</v>
      </c>
    </row>
    <row r="63" spans="1:2" ht="14.45" customHeight="1" x14ac:dyDescent="0.25">
      <c r="A63" s="2" t="s">
        <v>730</v>
      </c>
      <c r="B63" s="2">
        <v>1.2</v>
      </c>
    </row>
    <row r="64" spans="1:2" ht="14.45" customHeight="1" x14ac:dyDescent="0.25">
      <c r="A64" s="2" t="s">
        <v>731</v>
      </c>
      <c r="B64" s="2">
        <v>1</v>
      </c>
    </row>
    <row r="65" spans="1:2" ht="14.45" customHeight="1" x14ac:dyDescent="0.25">
      <c r="A65" s="2" t="s">
        <v>732</v>
      </c>
      <c r="B65" s="2">
        <v>1</v>
      </c>
    </row>
    <row r="66" spans="1:2" ht="14.45" customHeight="1" x14ac:dyDescent="0.25">
      <c r="A66" s="2" t="s">
        <v>733</v>
      </c>
      <c r="B66" s="2">
        <v>0.9</v>
      </c>
    </row>
    <row r="67" spans="1:2" ht="14.45" customHeight="1" x14ac:dyDescent="0.25">
      <c r="A67" s="2" t="s">
        <v>734</v>
      </c>
      <c r="B67" s="2">
        <v>1.1000000000000001</v>
      </c>
    </row>
    <row r="68" spans="1:2" ht="14.45" customHeight="1" x14ac:dyDescent="0.25">
      <c r="A68" s="2" t="s">
        <v>735</v>
      </c>
      <c r="B68" s="2">
        <v>1</v>
      </c>
    </row>
    <row r="69" spans="1:2" ht="14.45" customHeight="1" x14ac:dyDescent="0.25">
      <c r="A69" s="2" t="s">
        <v>736</v>
      </c>
      <c r="B69" s="2">
        <v>1.5</v>
      </c>
    </row>
    <row r="70" spans="1:2" ht="14.45" customHeight="1" x14ac:dyDescent="0.25">
      <c r="A70" s="2" t="s">
        <v>737</v>
      </c>
      <c r="B70" s="2">
        <v>1.1000000000000001</v>
      </c>
    </row>
    <row r="71" spans="1:2" ht="14.45" customHeight="1" x14ac:dyDescent="0.25">
      <c r="A71" s="2" t="s">
        <v>738</v>
      </c>
      <c r="B71" s="2">
        <v>1.1000000000000001</v>
      </c>
    </row>
    <row r="72" spans="1:2" ht="14.45" customHeight="1" x14ac:dyDescent="0.25">
      <c r="A72" s="2" t="s">
        <v>739</v>
      </c>
      <c r="B72" s="2">
        <v>0.9</v>
      </c>
    </row>
    <row r="73" spans="1:2" ht="14.45" customHeight="1" x14ac:dyDescent="0.25">
      <c r="A73" s="2" t="s">
        <v>740</v>
      </c>
      <c r="B73" s="2">
        <v>1</v>
      </c>
    </row>
    <row r="74" spans="1:2" ht="14.45" customHeight="1" x14ac:dyDescent="0.25">
      <c r="A74" s="2" t="s">
        <v>741</v>
      </c>
      <c r="B74" s="2">
        <v>1</v>
      </c>
    </row>
    <row r="75" spans="1:2" ht="14.45" customHeight="1" x14ac:dyDescent="0.25">
      <c r="A75" s="2" t="s">
        <v>742</v>
      </c>
      <c r="B75" s="2">
        <v>1.2</v>
      </c>
    </row>
    <row r="76" spans="1:2" ht="14.45" customHeight="1" x14ac:dyDescent="0.25">
      <c r="A76" s="2" t="s">
        <v>743</v>
      </c>
      <c r="B76" s="2">
        <v>1</v>
      </c>
    </row>
    <row r="77" spans="1:2" ht="14.45" customHeight="1" x14ac:dyDescent="0.25">
      <c r="A77" s="2" t="s">
        <v>744</v>
      </c>
      <c r="B77" s="2">
        <v>1.2</v>
      </c>
    </row>
    <row r="78" spans="1:2" ht="14.45" customHeight="1" x14ac:dyDescent="0.25">
      <c r="A78" s="2" t="s">
        <v>745</v>
      </c>
      <c r="B78" s="2">
        <v>1</v>
      </c>
    </row>
    <row r="79" spans="1:2" ht="14.45" customHeight="1" x14ac:dyDescent="0.25">
      <c r="A79" s="2" t="s">
        <v>746</v>
      </c>
      <c r="B79" s="2">
        <v>1</v>
      </c>
    </row>
    <row r="80" spans="1:2" ht="14.45" customHeight="1" x14ac:dyDescent="0.25">
      <c r="A80" s="2" t="s">
        <v>747</v>
      </c>
      <c r="B80" s="2">
        <v>1</v>
      </c>
    </row>
    <row r="81" spans="1:2" ht="14.45" customHeight="1" x14ac:dyDescent="0.25">
      <c r="A81" s="2" t="s">
        <v>748</v>
      </c>
      <c r="B81" s="2">
        <v>1.1000000000000001</v>
      </c>
    </row>
    <row r="82" spans="1:2" ht="14.45" customHeight="1" x14ac:dyDescent="0.25">
      <c r="A82" s="2" t="s">
        <v>749</v>
      </c>
      <c r="B82" s="2">
        <v>1.5</v>
      </c>
    </row>
    <row r="83" spans="1:2" ht="14.45" customHeight="1" x14ac:dyDescent="0.25">
      <c r="A83" s="2" t="s">
        <v>750</v>
      </c>
      <c r="B83" s="2">
        <v>1.3</v>
      </c>
    </row>
    <row r="84" spans="1:2" ht="14.45" customHeight="1" x14ac:dyDescent="0.25">
      <c r="A84" s="2" t="s">
        <v>751</v>
      </c>
      <c r="B84" s="2">
        <v>0.9</v>
      </c>
    </row>
    <row r="85" spans="1:2" ht="14.45" customHeight="1" x14ac:dyDescent="0.25">
      <c r="A85" s="2" t="s">
        <v>752</v>
      </c>
      <c r="B85" s="2">
        <v>0.9</v>
      </c>
    </row>
    <row r="86" spans="1:2" ht="14.45" customHeight="1" x14ac:dyDescent="0.25">
      <c r="A86" s="2" t="s">
        <v>753</v>
      </c>
      <c r="B86" s="2">
        <v>0.8</v>
      </c>
    </row>
    <row r="87" spans="1:2" ht="14.45" customHeight="1" x14ac:dyDescent="0.25">
      <c r="A87" s="2" t="s">
        <v>754</v>
      </c>
      <c r="B87" s="2">
        <v>1</v>
      </c>
    </row>
    <row r="88" spans="1:2" ht="14.45" customHeight="1" x14ac:dyDescent="0.25">
      <c r="A88" s="2" t="s">
        <v>755</v>
      </c>
      <c r="B88" s="2">
        <v>0.9</v>
      </c>
    </row>
    <row r="89" spans="1:2" ht="14.45" customHeight="1" x14ac:dyDescent="0.25">
      <c r="A89" s="2" t="s">
        <v>756</v>
      </c>
      <c r="B89" s="2">
        <v>0.9</v>
      </c>
    </row>
    <row r="90" spans="1:2" ht="14.45" customHeight="1" x14ac:dyDescent="0.25">
      <c r="A90" s="2" t="s">
        <v>757</v>
      </c>
      <c r="B90" s="2">
        <v>1.8</v>
      </c>
    </row>
    <row r="91" spans="1:2" ht="14.45" customHeight="1" x14ac:dyDescent="0.25">
      <c r="A91" s="2" t="s">
        <v>758</v>
      </c>
      <c r="B91" s="2">
        <v>1</v>
      </c>
    </row>
    <row r="92" spans="1:2" ht="14.45" customHeight="1" x14ac:dyDescent="0.25">
      <c r="A92" s="2" t="s">
        <v>759</v>
      </c>
      <c r="B92" s="2">
        <v>1</v>
      </c>
    </row>
    <row r="93" spans="1:2" ht="14.45" customHeight="1" x14ac:dyDescent="0.25">
      <c r="A93" s="2" t="s">
        <v>760</v>
      </c>
      <c r="B93" s="2">
        <v>1.5</v>
      </c>
    </row>
    <row r="94" spans="1:2" ht="14.45" customHeight="1" x14ac:dyDescent="0.25">
      <c r="A94" s="2" t="s">
        <v>761</v>
      </c>
      <c r="B94" s="2">
        <v>0.9</v>
      </c>
    </row>
    <row r="95" spans="1:2" ht="14.45" customHeight="1" x14ac:dyDescent="0.25">
      <c r="A95" s="2" t="s">
        <v>762</v>
      </c>
      <c r="B95" s="2">
        <v>1</v>
      </c>
    </row>
    <row r="96" spans="1:2" ht="14.45" customHeight="1" x14ac:dyDescent="0.25">
      <c r="A96" s="2" t="s">
        <v>763</v>
      </c>
      <c r="B96" s="2">
        <v>0.9</v>
      </c>
    </row>
    <row r="97" spans="1:2" ht="14.45" customHeight="1" x14ac:dyDescent="0.25">
      <c r="A97" s="2" t="s">
        <v>764</v>
      </c>
      <c r="B97" s="2">
        <v>1.1000000000000001</v>
      </c>
    </row>
    <row r="98" spans="1:2" ht="14.45" customHeight="1" x14ac:dyDescent="0.25">
      <c r="A98" s="2" t="s">
        <v>765</v>
      </c>
      <c r="B98" s="2">
        <v>0.9</v>
      </c>
    </row>
    <row r="99" spans="1:2" ht="14.45" customHeight="1" x14ac:dyDescent="0.25">
      <c r="A99" s="2" t="s">
        <v>766</v>
      </c>
      <c r="B99" s="2">
        <v>1.1000000000000001</v>
      </c>
    </row>
    <row r="100" spans="1:2" ht="14.45" customHeight="1" x14ac:dyDescent="0.25">
      <c r="A100" s="2" t="s">
        <v>767</v>
      </c>
      <c r="B100" s="2">
        <v>1</v>
      </c>
    </row>
    <row r="101" spans="1:2" ht="14.45" customHeight="1" x14ac:dyDescent="0.25">
      <c r="A101" s="2" t="s">
        <v>768</v>
      </c>
      <c r="B101" s="2">
        <v>1.1000000000000001</v>
      </c>
    </row>
    <row r="102" spans="1:2" ht="14.45" customHeight="1" x14ac:dyDescent="0.25">
      <c r="A102" s="2" t="s">
        <v>769</v>
      </c>
      <c r="B102" s="2">
        <v>1</v>
      </c>
    </row>
    <row r="103" spans="1:2" ht="14.45" customHeight="1" x14ac:dyDescent="0.25">
      <c r="A103" s="2" t="s">
        <v>770</v>
      </c>
      <c r="B103" s="2">
        <v>1.9</v>
      </c>
    </row>
    <row r="104" spans="1:2" ht="14.45" customHeight="1" x14ac:dyDescent="0.25">
      <c r="A104" s="2" t="s">
        <v>771</v>
      </c>
      <c r="B104" s="2">
        <v>0.9</v>
      </c>
    </row>
    <row r="105" spans="1:2" ht="14.45" customHeight="1" x14ac:dyDescent="0.25">
      <c r="A105" s="2" t="s">
        <v>772</v>
      </c>
      <c r="B105" s="2">
        <v>1</v>
      </c>
    </row>
    <row r="106" spans="1:2" ht="14.45" customHeight="1" x14ac:dyDescent="0.25">
      <c r="A106" s="2" t="s">
        <v>773</v>
      </c>
      <c r="B106" s="2">
        <v>1.3</v>
      </c>
    </row>
    <row r="107" spans="1:2" ht="14.45" customHeight="1" x14ac:dyDescent="0.25">
      <c r="A107" s="2" t="s">
        <v>774</v>
      </c>
      <c r="B107" s="2">
        <v>0.9</v>
      </c>
    </row>
    <row r="108" spans="1:2" ht="14.45" customHeight="1" x14ac:dyDescent="0.25">
      <c r="A108" s="2" t="s">
        <v>775</v>
      </c>
      <c r="B108" s="2">
        <v>1.1000000000000001</v>
      </c>
    </row>
    <row r="109" spans="1:2" ht="14.45" customHeight="1" x14ac:dyDescent="0.25">
      <c r="A109" s="2" t="s">
        <v>776</v>
      </c>
      <c r="B109" s="2">
        <v>1.5</v>
      </c>
    </row>
    <row r="110" spans="1:2" ht="14.45" customHeight="1" x14ac:dyDescent="0.25">
      <c r="A110" s="2" t="s">
        <v>777</v>
      </c>
      <c r="B110" s="2">
        <v>1</v>
      </c>
    </row>
    <row r="111" spans="1:2" ht="14.45" customHeight="1" x14ac:dyDescent="0.25">
      <c r="A111" s="2" t="s">
        <v>778</v>
      </c>
      <c r="B111" s="2">
        <v>0.9</v>
      </c>
    </row>
    <row r="112" spans="1:2" ht="14.45" customHeight="1" x14ac:dyDescent="0.25">
      <c r="A112" s="2" t="s">
        <v>779</v>
      </c>
      <c r="B112" s="2">
        <v>1</v>
      </c>
    </row>
    <row r="113" spans="1:2" ht="14.45" customHeight="1" x14ac:dyDescent="0.25">
      <c r="A113" s="2" t="s">
        <v>780</v>
      </c>
      <c r="B113" s="2">
        <v>0.9</v>
      </c>
    </row>
    <row r="114" spans="1:2" ht="14.45" customHeight="1" x14ac:dyDescent="0.25">
      <c r="A114" s="2" t="s">
        <v>781</v>
      </c>
      <c r="B114" s="2">
        <v>0.9</v>
      </c>
    </row>
    <row r="115" spans="1:2" ht="14.45" customHeight="1" x14ac:dyDescent="0.25">
      <c r="A115" s="2" t="s">
        <v>782</v>
      </c>
      <c r="B115" s="2">
        <v>1</v>
      </c>
    </row>
    <row r="116" spans="1:2" ht="14.45" customHeight="1" x14ac:dyDescent="0.25">
      <c r="A116" s="2" t="s">
        <v>783</v>
      </c>
      <c r="B116" s="2">
        <v>0.9</v>
      </c>
    </row>
    <row r="117" spans="1:2" ht="14.45" customHeight="1" x14ac:dyDescent="0.25">
      <c r="A117" s="2" t="s">
        <v>784</v>
      </c>
      <c r="B117" s="2">
        <v>0.8</v>
      </c>
    </row>
    <row r="118" spans="1:2" ht="14.45" customHeight="1" x14ac:dyDescent="0.25">
      <c r="A118" s="2" t="s">
        <v>785</v>
      </c>
      <c r="B118" s="2">
        <v>1</v>
      </c>
    </row>
    <row r="119" spans="1:2" ht="14.45" customHeight="1" x14ac:dyDescent="0.25">
      <c r="A119" s="2" t="s">
        <v>786</v>
      </c>
      <c r="B119" s="2">
        <v>1</v>
      </c>
    </row>
    <row r="120" spans="1:2" ht="14.45" customHeight="1" x14ac:dyDescent="0.25">
      <c r="A120" s="2" t="s">
        <v>787</v>
      </c>
      <c r="B120" s="2">
        <v>1.2</v>
      </c>
    </row>
    <row r="121" spans="1:2" ht="14.45" customHeight="1" x14ac:dyDescent="0.25">
      <c r="A121" s="2" t="s">
        <v>788</v>
      </c>
      <c r="B121" s="2">
        <v>0.9</v>
      </c>
    </row>
    <row r="122" spans="1:2" ht="14.45" customHeight="1" x14ac:dyDescent="0.25">
      <c r="A122" s="2" t="s">
        <v>789</v>
      </c>
      <c r="B122" s="2">
        <v>1</v>
      </c>
    </row>
    <row r="123" spans="1:2" ht="14.45" customHeight="1" x14ac:dyDescent="0.25">
      <c r="A123" s="2" t="s">
        <v>790</v>
      </c>
      <c r="B123" s="2">
        <v>1</v>
      </c>
    </row>
    <row r="124" spans="1:2" ht="14.45" customHeight="1" x14ac:dyDescent="0.25">
      <c r="A124" s="2" t="s">
        <v>791</v>
      </c>
      <c r="B124" s="2">
        <v>1</v>
      </c>
    </row>
    <row r="125" spans="1:2" ht="14.45" customHeight="1" x14ac:dyDescent="0.25">
      <c r="A125" s="2" t="s">
        <v>792</v>
      </c>
      <c r="B125" s="2">
        <v>1</v>
      </c>
    </row>
    <row r="126" spans="1:2" ht="14.45" customHeight="1" x14ac:dyDescent="0.25">
      <c r="A126" s="2" t="s">
        <v>793</v>
      </c>
      <c r="B126" s="2">
        <v>1.1000000000000001</v>
      </c>
    </row>
    <row r="127" spans="1:2" ht="14.45" customHeight="1" x14ac:dyDescent="0.25">
      <c r="A127" s="2" t="s">
        <v>794</v>
      </c>
      <c r="B127" s="2">
        <v>1</v>
      </c>
    </row>
    <row r="128" spans="1:2" ht="14.45" customHeight="1" x14ac:dyDescent="0.25">
      <c r="A128" s="2" t="s">
        <v>795</v>
      </c>
      <c r="B128" s="2">
        <v>1</v>
      </c>
    </row>
    <row r="129" spans="1:2" ht="14.45" customHeight="1" x14ac:dyDescent="0.25">
      <c r="A129" s="2" t="s">
        <v>796</v>
      </c>
      <c r="B129" s="2">
        <v>1.3</v>
      </c>
    </row>
    <row r="130" spans="1:2" ht="14.45" customHeight="1" x14ac:dyDescent="0.25">
      <c r="A130" s="2" t="s">
        <v>797</v>
      </c>
      <c r="B130" s="2">
        <v>1.2</v>
      </c>
    </row>
    <row r="131" spans="1:2" ht="14.45" customHeight="1" x14ac:dyDescent="0.25">
      <c r="A131" s="2" t="s">
        <v>798</v>
      </c>
      <c r="B131" s="2">
        <v>0.8</v>
      </c>
    </row>
    <row r="132" spans="1:2" ht="14.45" customHeight="1" x14ac:dyDescent="0.25">
      <c r="A132" s="2" t="s">
        <v>799</v>
      </c>
      <c r="B132" s="2">
        <v>1.2</v>
      </c>
    </row>
    <row r="133" spans="1:2" ht="14.45" customHeight="1" x14ac:dyDescent="0.25">
      <c r="A133" s="2" t="s">
        <v>800</v>
      </c>
      <c r="B133" s="2">
        <v>1.5</v>
      </c>
    </row>
    <row r="134" spans="1:2" ht="14.45" customHeight="1" x14ac:dyDescent="0.25">
      <c r="A134" s="2" t="s">
        <v>801</v>
      </c>
      <c r="B134" s="2">
        <v>0.9</v>
      </c>
    </row>
    <row r="135" spans="1:2" ht="14.45" customHeight="1" x14ac:dyDescent="0.25">
      <c r="A135" s="2" t="s">
        <v>802</v>
      </c>
      <c r="B135" s="2">
        <v>1.5</v>
      </c>
    </row>
    <row r="136" spans="1:2" ht="14.45" customHeight="1" x14ac:dyDescent="0.25">
      <c r="A136" s="2" t="s">
        <v>803</v>
      </c>
      <c r="B136" s="2">
        <v>0.9</v>
      </c>
    </row>
    <row r="137" spans="1:2" ht="14.45" customHeight="1" x14ac:dyDescent="0.25">
      <c r="A137" s="2" t="s">
        <v>804</v>
      </c>
      <c r="B137" s="2">
        <v>0.8</v>
      </c>
    </row>
    <row r="138" spans="1:2" ht="14.45" customHeight="1" x14ac:dyDescent="0.25">
      <c r="A138" t="s">
        <v>805</v>
      </c>
      <c r="B138" s="2">
        <v>1.4</v>
      </c>
    </row>
    <row r="139" spans="1:2" ht="14.45" customHeight="1" x14ac:dyDescent="0.25">
      <c r="A139" s="2" t="s">
        <v>806</v>
      </c>
      <c r="B139" s="2">
        <v>1.6</v>
      </c>
    </row>
    <row r="140" spans="1:2" ht="14.45" customHeight="1" x14ac:dyDescent="0.25">
      <c r="A140" s="2" t="s">
        <v>807</v>
      </c>
      <c r="B140" s="2">
        <v>1</v>
      </c>
    </row>
    <row r="141" spans="1:2" ht="14.45" customHeight="1" x14ac:dyDescent="0.25">
      <c r="A141" s="2" t="s">
        <v>663</v>
      </c>
      <c r="B141" s="2">
        <v>1</v>
      </c>
    </row>
    <row r="142" spans="1:2" ht="14.45" customHeight="1" x14ac:dyDescent="0.25">
      <c r="A142" s="2" t="s">
        <v>808</v>
      </c>
      <c r="B142" s="2">
        <v>1</v>
      </c>
    </row>
    <row r="143" spans="1:2" ht="14.45" customHeight="1" x14ac:dyDescent="0.25">
      <c r="A143" s="2" t="s">
        <v>809</v>
      </c>
      <c r="B143" s="2">
        <v>1</v>
      </c>
    </row>
    <row r="144" spans="1:2" ht="14.45" customHeight="1" x14ac:dyDescent="0.25">
      <c r="A144" s="2" t="s">
        <v>810</v>
      </c>
      <c r="B144" s="2">
        <v>1</v>
      </c>
    </row>
    <row r="145" spans="1:2" ht="14.45" customHeight="1" x14ac:dyDescent="0.25">
      <c r="A145" s="2" t="s">
        <v>811</v>
      </c>
      <c r="B145" s="2">
        <v>1.2</v>
      </c>
    </row>
    <row r="146" spans="1:2" ht="14.45" customHeight="1" x14ac:dyDescent="0.25">
      <c r="A146" s="2" t="s">
        <v>812</v>
      </c>
      <c r="B146" s="2">
        <v>1</v>
      </c>
    </row>
    <row r="147" spans="1:2" ht="14.45" customHeight="1" x14ac:dyDescent="0.25">
      <c r="A147" s="2" t="s">
        <v>813</v>
      </c>
      <c r="B147" s="2">
        <v>1</v>
      </c>
    </row>
    <row r="148" spans="1:2" ht="14.45" customHeight="1" x14ac:dyDescent="0.25">
      <c r="A148" s="2" t="s">
        <v>814</v>
      </c>
      <c r="B148" s="2">
        <v>1</v>
      </c>
    </row>
    <row r="149" spans="1:2" ht="14.45" customHeight="1" x14ac:dyDescent="0.25">
      <c r="A149" s="2" t="s">
        <v>815</v>
      </c>
      <c r="B149" s="2">
        <v>1.1000000000000001</v>
      </c>
    </row>
    <row r="150" spans="1:2" ht="14.45" customHeight="1" x14ac:dyDescent="0.25">
      <c r="A150" s="2" t="s">
        <v>816</v>
      </c>
      <c r="B150" s="2">
        <v>0.9</v>
      </c>
    </row>
    <row r="151" spans="1:2" ht="14.45" customHeight="1" x14ac:dyDescent="0.25">
      <c r="A151" s="2" t="s">
        <v>817</v>
      </c>
      <c r="B151" s="2">
        <v>0.9</v>
      </c>
    </row>
    <row r="152" spans="1:2" ht="14.45" customHeight="1" x14ac:dyDescent="0.25">
      <c r="A152" s="2" t="s">
        <v>818</v>
      </c>
      <c r="B152" s="2">
        <v>0.9</v>
      </c>
    </row>
    <row r="153" spans="1:2" ht="14.45" customHeight="1" x14ac:dyDescent="0.25">
      <c r="A153" s="2" t="s">
        <v>819</v>
      </c>
      <c r="B153" s="2">
        <v>1</v>
      </c>
    </row>
    <row r="154" spans="1:2" ht="14.45" customHeight="1" x14ac:dyDescent="0.25">
      <c r="A154" s="2" t="s">
        <v>820</v>
      </c>
      <c r="B154" s="2">
        <v>1.1000000000000001</v>
      </c>
    </row>
    <row r="155" spans="1:2" ht="14.45" customHeight="1" x14ac:dyDescent="0.25">
      <c r="A155" s="2" t="s">
        <v>821</v>
      </c>
      <c r="B155" s="2">
        <v>1.1000000000000001</v>
      </c>
    </row>
    <row r="156" spans="1:2" ht="14.45" customHeight="1" x14ac:dyDescent="0.25">
      <c r="A156" s="2" t="s">
        <v>822</v>
      </c>
      <c r="B156" s="2">
        <v>1.2</v>
      </c>
    </row>
    <row r="157" spans="1:2" ht="14.45" customHeight="1" x14ac:dyDescent="0.25">
      <c r="A157" s="2" t="s">
        <v>823</v>
      </c>
      <c r="B157" s="2">
        <v>1.3</v>
      </c>
    </row>
    <row r="158" spans="1:2" ht="14.45" customHeight="1" x14ac:dyDescent="0.25">
      <c r="A158" s="2" t="s">
        <v>824</v>
      </c>
      <c r="B158" s="2">
        <v>1</v>
      </c>
    </row>
    <row r="159" spans="1:2" ht="14.45" customHeight="1" x14ac:dyDescent="0.25">
      <c r="A159" s="2" t="s">
        <v>825</v>
      </c>
      <c r="B159" s="2">
        <v>1</v>
      </c>
    </row>
    <row r="160" spans="1:2" ht="14.45" customHeight="1" x14ac:dyDescent="0.25">
      <c r="A160" s="2" t="s">
        <v>826</v>
      </c>
      <c r="B160" s="2">
        <v>1.6</v>
      </c>
    </row>
    <row r="161" spans="1:2" ht="14.45" customHeight="1" x14ac:dyDescent="0.25">
      <c r="A161" s="2" t="s">
        <v>827</v>
      </c>
      <c r="B161" s="2">
        <v>0.9</v>
      </c>
    </row>
    <row r="162" spans="1:2" ht="14.45" customHeight="1" x14ac:dyDescent="0.25">
      <c r="A162" s="2" t="s">
        <v>828</v>
      </c>
      <c r="B162" s="2">
        <v>1</v>
      </c>
    </row>
    <row r="163" spans="1:2" ht="14.45" customHeight="1" x14ac:dyDescent="0.25">
      <c r="A163" s="2" t="s">
        <v>829</v>
      </c>
      <c r="B163" s="2">
        <v>1</v>
      </c>
    </row>
    <row r="164" spans="1:2" ht="14.45" customHeight="1" x14ac:dyDescent="0.25">
      <c r="A164" s="2" t="s">
        <v>830</v>
      </c>
      <c r="B164" s="2">
        <v>1</v>
      </c>
    </row>
    <row r="165" spans="1:2" ht="14.45" customHeight="1" x14ac:dyDescent="0.25">
      <c r="A165" s="2" t="s">
        <v>831</v>
      </c>
      <c r="B165" s="2">
        <v>1.1000000000000001</v>
      </c>
    </row>
    <row r="166" spans="1:2" ht="14.45" customHeight="1" x14ac:dyDescent="0.25">
      <c r="A166" s="2" t="s">
        <v>832</v>
      </c>
      <c r="B166" s="2">
        <v>1.1000000000000001</v>
      </c>
    </row>
    <row r="167" spans="1:2" ht="14.45" customHeight="1" x14ac:dyDescent="0.25">
      <c r="A167" s="2" t="s">
        <v>833</v>
      </c>
      <c r="B167" s="2">
        <v>0.9</v>
      </c>
    </row>
    <row r="168" spans="1:2" ht="14.45" customHeight="1" x14ac:dyDescent="0.25">
      <c r="A168" s="2" t="s">
        <v>834</v>
      </c>
      <c r="B168" s="2">
        <v>1.2</v>
      </c>
    </row>
    <row r="169" spans="1:2" ht="14.45" customHeight="1" x14ac:dyDescent="0.25">
      <c r="A169" s="2" t="s">
        <v>835</v>
      </c>
      <c r="B169" s="2">
        <v>0.9</v>
      </c>
    </row>
    <row r="170" spans="1:2" ht="14.45" customHeight="1" x14ac:dyDescent="0.25">
      <c r="A170" s="2" t="s">
        <v>836</v>
      </c>
      <c r="B170" s="2">
        <v>1</v>
      </c>
    </row>
    <row r="171" spans="1:2" ht="14.45" customHeight="1" x14ac:dyDescent="0.25">
      <c r="A171" s="2" t="s">
        <v>837</v>
      </c>
      <c r="B171" s="2">
        <v>0.9</v>
      </c>
    </row>
    <row r="172" spans="1:2" ht="14.45" customHeight="1" x14ac:dyDescent="0.25">
      <c r="A172" s="2" t="s">
        <v>838</v>
      </c>
      <c r="B172" s="2">
        <v>1.3</v>
      </c>
    </row>
    <row r="173" spans="1:2" ht="14.45" customHeight="1" x14ac:dyDescent="0.25">
      <c r="A173" s="2" t="s">
        <v>839</v>
      </c>
      <c r="B173" s="2">
        <v>1</v>
      </c>
    </row>
    <row r="174" spans="1:2" ht="14.45" customHeight="1" x14ac:dyDescent="0.25">
      <c r="A174" s="2" t="s">
        <v>840</v>
      </c>
      <c r="B174" s="2">
        <v>1.7</v>
      </c>
    </row>
    <row r="175" spans="1:2" ht="14.45" customHeight="1" x14ac:dyDescent="0.25">
      <c r="A175" s="2" t="s">
        <v>841</v>
      </c>
      <c r="B175" s="2">
        <v>0.9</v>
      </c>
    </row>
    <row r="176" spans="1:2" ht="14.45" customHeight="1" x14ac:dyDescent="0.25">
      <c r="A176" s="2" t="s">
        <v>842</v>
      </c>
      <c r="B176" s="2">
        <v>0.9</v>
      </c>
    </row>
    <row r="177" spans="1:2" ht="14.45" customHeight="1" x14ac:dyDescent="0.25">
      <c r="A177" s="2" t="s">
        <v>843</v>
      </c>
      <c r="B177" s="2">
        <v>1.4</v>
      </c>
    </row>
    <row r="178" spans="1:2" ht="14.45" customHeight="1" x14ac:dyDescent="0.25">
      <c r="A178" s="2" t="s">
        <v>844</v>
      </c>
      <c r="B178" s="2">
        <v>1.4</v>
      </c>
    </row>
    <row r="179" spans="1:2" ht="14.45" customHeight="1" x14ac:dyDescent="0.25">
      <c r="A179" s="2" t="s">
        <v>845</v>
      </c>
      <c r="B179" s="2">
        <v>1.4</v>
      </c>
    </row>
    <row r="180" spans="1:2" ht="14.45" customHeight="1" x14ac:dyDescent="0.25">
      <c r="A180" s="2" t="s">
        <v>846</v>
      </c>
      <c r="B180" s="2">
        <v>0.9</v>
      </c>
    </row>
    <row r="181" spans="1:2" ht="14.45" customHeight="1" x14ac:dyDescent="0.25">
      <c r="A181" s="2" t="s">
        <v>847</v>
      </c>
      <c r="B181" s="2">
        <v>1.2</v>
      </c>
    </row>
    <row r="182" spans="1:2" ht="14.45" customHeight="1" x14ac:dyDescent="0.25">
      <c r="A182" s="2" t="s">
        <v>848</v>
      </c>
      <c r="B182" s="2">
        <v>1.1000000000000001</v>
      </c>
    </row>
    <row r="183" spans="1:2" ht="14.45" customHeight="1" x14ac:dyDescent="0.25">
      <c r="A183" s="2" t="s">
        <v>849</v>
      </c>
      <c r="B183" s="2">
        <v>1</v>
      </c>
    </row>
    <row r="184" spans="1:2" ht="14.45" customHeight="1" x14ac:dyDescent="0.25">
      <c r="A184" s="2" t="s">
        <v>850</v>
      </c>
      <c r="B184" s="2">
        <v>1.1000000000000001</v>
      </c>
    </row>
    <row r="185" spans="1:2" ht="14.45" customHeight="1" x14ac:dyDescent="0.25">
      <c r="A185" s="2" t="s">
        <v>851</v>
      </c>
      <c r="B185" s="2">
        <v>1</v>
      </c>
    </row>
    <row r="186" spans="1:2" ht="14.45" customHeight="1" x14ac:dyDescent="0.25">
      <c r="A186" s="2" t="s">
        <v>852</v>
      </c>
      <c r="B186" s="2">
        <v>0.9</v>
      </c>
    </row>
    <row r="187" spans="1:2" ht="14.45" customHeight="1" x14ac:dyDescent="0.25">
      <c r="A187" s="2" t="s">
        <v>853</v>
      </c>
      <c r="B187" s="2">
        <v>0.9</v>
      </c>
    </row>
    <row r="188" spans="1:2" ht="14.45" customHeight="1" x14ac:dyDescent="0.25">
      <c r="A188" s="2" t="s">
        <v>854</v>
      </c>
      <c r="B188" s="2">
        <v>1</v>
      </c>
    </row>
    <row r="189" spans="1:2" ht="14.45" customHeight="1" x14ac:dyDescent="0.25">
      <c r="A189" s="2" t="s">
        <v>855</v>
      </c>
      <c r="B189" s="2">
        <v>1.4</v>
      </c>
    </row>
    <row r="190" spans="1:2" ht="14.45" customHeight="1" x14ac:dyDescent="0.25">
      <c r="A190" s="2" t="s">
        <v>856</v>
      </c>
      <c r="B190" s="2">
        <v>1.1000000000000001</v>
      </c>
    </row>
    <row r="191" spans="1:2" ht="14.45" customHeight="1" x14ac:dyDescent="0.25">
      <c r="A191" s="2" t="s">
        <v>857</v>
      </c>
      <c r="B191" s="2">
        <v>0.9</v>
      </c>
    </row>
    <row r="192" spans="1:2" ht="14.45" customHeight="1" x14ac:dyDescent="0.25">
      <c r="A192" s="2" t="s">
        <v>858</v>
      </c>
      <c r="B192" s="2">
        <v>1</v>
      </c>
    </row>
    <row r="193" spans="1:2" ht="14.45" customHeight="1" x14ac:dyDescent="0.25">
      <c r="A193" s="2" t="s">
        <v>859</v>
      </c>
      <c r="B193" s="2">
        <v>1.2</v>
      </c>
    </row>
    <row r="194" spans="1:2" ht="14.45" customHeight="1" x14ac:dyDescent="0.25">
      <c r="A194" s="2" t="s">
        <v>860</v>
      </c>
      <c r="B194" s="2">
        <v>1.4</v>
      </c>
    </row>
    <row r="195" spans="1:2" ht="14.45" customHeight="1" x14ac:dyDescent="0.25">
      <c r="A195" s="2" t="s">
        <v>861</v>
      </c>
      <c r="B195" s="2">
        <v>1</v>
      </c>
    </row>
    <row r="196" spans="1:2" ht="14.45" customHeight="1" x14ac:dyDescent="0.25">
      <c r="A196" s="2" t="s">
        <v>862</v>
      </c>
      <c r="B196" s="2">
        <v>1</v>
      </c>
    </row>
    <row r="197" spans="1:2" ht="14.45" customHeight="1" x14ac:dyDescent="0.25">
      <c r="A197" s="2" t="s">
        <v>863</v>
      </c>
      <c r="B197" s="2">
        <v>1.7</v>
      </c>
    </row>
    <row r="198" spans="1:2" ht="14.45" customHeight="1" x14ac:dyDescent="0.25">
      <c r="A198" s="2" t="s">
        <v>864</v>
      </c>
      <c r="B198" s="2">
        <v>0.9</v>
      </c>
    </row>
    <row r="199" spans="1:2" ht="14.45" customHeight="1" x14ac:dyDescent="0.25">
      <c r="A199" s="2" t="s">
        <v>865</v>
      </c>
      <c r="B199" s="2">
        <v>0.9</v>
      </c>
    </row>
    <row r="200" spans="1:2" ht="14.45" customHeight="1" x14ac:dyDescent="0.25">
      <c r="A200" s="2" t="s">
        <v>866</v>
      </c>
      <c r="B200" s="2">
        <v>0.9</v>
      </c>
    </row>
    <row r="201" spans="1:2" ht="14.45" customHeight="1" x14ac:dyDescent="0.25">
      <c r="A201" s="2" t="s">
        <v>867</v>
      </c>
      <c r="B201" s="2">
        <v>1</v>
      </c>
    </row>
    <row r="202" spans="1:2" ht="14.45" customHeight="1" x14ac:dyDescent="0.25">
      <c r="A202" s="2" t="s">
        <v>868</v>
      </c>
      <c r="B202" s="2">
        <v>1.1000000000000001</v>
      </c>
    </row>
    <row r="203" spans="1:2" ht="14.45" customHeight="1" x14ac:dyDescent="0.25">
      <c r="A203" s="2" t="s">
        <v>869</v>
      </c>
      <c r="B203" s="2">
        <v>1.8</v>
      </c>
    </row>
    <row r="204" spans="1:2" ht="14.45" customHeight="1" x14ac:dyDescent="0.25">
      <c r="A204" s="2" t="s">
        <v>870</v>
      </c>
      <c r="B204" s="2">
        <v>1</v>
      </c>
    </row>
    <row r="205" spans="1:2" ht="14.45" customHeight="1" x14ac:dyDescent="0.25">
      <c r="A205" s="2" t="s">
        <v>871</v>
      </c>
      <c r="B205" s="2">
        <v>0.9</v>
      </c>
    </row>
    <row r="206" spans="1:2" ht="14.45" customHeight="1" x14ac:dyDescent="0.25">
      <c r="A206" s="2" t="s">
        <v>872</v>
      </c>
      <c r="B206" s="2">
        <v>1.5</v>
      </c>
    </row>
    <row r="207" spans="1:2" ht="14.45" customHeight="1" x14ac:dyDescent="0.25">
      <c r="A207" s="2" t="s">
        <v>873</v>
      </c>
      <c r="B207" s="2">
        <v>1</v>
      </c>
    </row>
    <row r="208" spans="1:2" ht="14.45" customHeight="1" x14ac:dyDescent="0.25">
      <c r="A208" s="2" t="s">
        <v>874</v>
      </c>
      <c r="B208" s="2">
        <v>1.3</v>
      </c>
    </row>
    <row r="209" spans="1:2" ht="14.45" customHeight="1" x14ac:dyDescent="0.25">
      <c r="A209" s="2" t="s">
        <v>875</v>
      </c>
      <c r="B209" s="2">
        <v>1.1000000000000001</v>
      </c>
    </row>
    <row r="210" spans="1:2" ht="14.45" customHeight="1" x14ac:dyDescent="0.25">
      <c r="A210" s="2" t="s">
        <v>876</v>
      </c>
      <c r="B210" s="2">
        <v>1</v>
      </c>
    </row>
    <row r="211" spans="1:2" ht="14.45" customHeight="1" x14ac:dyDescent="0.25">
      <c r="A211" s="2" t="s">
        <v>877</v>
      </c>
      <c r="B211" s="2">
        <v>0.9</v>
      </c>
    </row>
    <row r="212" spans="1:2" ht="14.45" customHeight="1" x14ac:dyDescent="0.25">
      <c r="A212" s="2" t="s">
        <v>878</v>
      </c>
      <c r="B212" s="2">
        <v>0.9</v>
      </c>
    </row>
    <row r="213" spans="1:2" ht="14.45" customHeight="1" x14ac:dyDescent="0.25">
      <c r="A213" s="2" t="s">
        <v>879</v>
      </c>
      <c r="B213" s="2">
        <v>1</v>
      </c>
    </row>
    <row r="214" spans="1:2" ht="14.45" customHeight="1" x14ac:dyDescent="0.25">
      <c r="A214" s="2" t="s">
        <v>880</v>
      </c>
      <c r="B214" s="2">
        <v>1</v>
      </c>
    </row>
    <row r="215" spans="1:2" ht="14.45" customHeight="1" x14ac:dyDescent="0.25">
      <c r="A215" s="2" t="s">
        <v>881</v>
      </c>
      <c r="B215" s="2">
        <v>1.1000000000000001</v>
      </c>
    </row>
    <row r="216" spans="1:2" ht="14.45" customHeight="1" x14ac:dyDescent="0.25">
      <c r="A216" s="2" t="s">
        <v>882</v>
      </c>
      <c r="B216" s="2">
        <v>1.1000000000000001</v>
      </c>
    </row>
    <row r="217" spans="1:2" ht="14.45" customHeight="1" x14ac:dyDescent="0.25">
      <c r="A217" s="2" t="s">
        <v>883</v>
      </c>
      <c r="B217" s="2">
        <v>1.2</v>
      </c>
    </row>
    <row r="218" spans="1:2" ht="14.45" customHeight="1" x14ac:dyDescent="0.25">
      <c r="A218" s="2" t="s">
        <v>884</v>
      </c>
      <c r="B218" s="2">
        <v>1</v>
      </c>
    </row>
    <row r="219" spans="1:2" ht="14.45" customHeight="1" x14ac:dyDescent="0.25">
      <c r="A219" s="2" t="s">
        <v>885</v>
      </c>
      <c r="B219" s="2">
        <v>1</v>
      </c>
    </row>
    <row r="220" spans="1:2" ht="14.45" customHeight="1" x14ac:dyDescent="0.25">
      <c r="A220" s="2" t="s">
        <v>886</v>
      </c>
      <c r="B220" s="2">
        <v>0.9</v>
      </c>
    </row>
    <row r="221" spans="1:2" ht="14.45" customHeight="1" x14ac:dyDescent="0.25">
      <c r="A221" s="2" t="s">
        <v>887</v>
      </c>
      <c r="B221" s="2">
        <v>0.9</v>
      </c>
    </row>
    <row r="222" spans="1:2" ht="14.45" customHeight="1" x14ac:dyDescent="0.25">
      <c r="A222" s="2" t="s">
        <v>888</v>
      </c>
      <c r="B222" s="2">
        <v>1</v>
      </c>
    </row>
    <row r="223" spans="1:2" ht="14.45" customHeight="1" x14ac:dyDescent="0.25">
      <c r="A223" s="2" t="s">
        <v>889</v>
      </c>
      <c r="B223" s="2">
        <v>1</v>
      </c>
    </row>
    <row r="224" spans="1:2" ht="14.45" customHeight="1" x14ac:dyDescent="0.25">
      <c r="A224" s="2" t="s">
        <v>890</v>
      </c>
      <c r="B224" s="2">
        <v>1.1000000000000001</v>
      </c>
    </row>
    <row r="225" spans="1:2" ht="14.45" customHeight="1" x14ac:dyDescent="0.25">
      <c r="A225" s="2" t="s">
        <v>891</v>
      </c>
      <c r="B225" s="2">
        <v>1.3</v>
      </c>
    </row>
    <row r="226" spans="1:2" ht="14.45" customHeight="1" x14ac:dyDescent="0.25">
      <c r="A226" s="2" t="s">
        <v>892</v>
      </c>
      <c r="B226" s="2">
        <v>1</v>
      </c>
    </row>
    <row r="227" spans="1:2" ht="14.45" customHeight="1" x14ac:dyDescent="0.25">
      <c r="A227" s="2" t="s">
        <v>893</v>
      </c>
      <c r="B227" s="2">
        <v>0.9</v>
      </c>
    </row>
    <row r="228" spans="1:2" ht="14.45" customHeight="1" x14ac:dyDescent="0.25">
      <c r="A228" s="2" t="s">
        <v>894</v>
      </c>
      <c r="B228" s="2">
        <v>0.9</v>
      </c>
    </row>
    <row r="229" spans="1:2" ht="14.45" customHeight="1" x14ac:dyDescent="0.25">
      <c r="A229" s="2" t="s">
        <v>895</v>
      </c>
      <c r="B229" s="2">
        <v>1.2</v>
      </c>
    </row>
    <row r="230" spans="1:2" ht="14.45" customHeight="1" x14ac:dyDescent="0.25">
      <c r="A230" s="2" t="s">
        <v>896</v>
      </c>
      <c r="B230" s="2">
        <v>0.9</v>
      </c>
    </row>
    <row r="231" spans="1:2" ht="14.45" customHeight="1" x14ac:dyDescent="0.25">
      <c r="A231" s="2" t="s">
        <v>897</v>
      </c>
      <c r="B231" s="2">
        <v>1.1000000000000001</v>
      </c>
    </row>
    <row r="232" spans="1:2" ht="14.45" customHeight="1" x14ac:dyDescent="0.25">
      <c r="A232" s="2" t="s">
        <v>898</v>
      </c>
      <c r="B232" s="2">
        <v>1</v>
      </c>
    </row>
    <row r="233" spans="1:2" ht="14.45" customHeight="1" x14ac:dyDescent="0.25">
      <c r="A233" s="2" t="s">
        <v>899</v>
      </c>
      <c r="B233" s="2">
        <v>0.9</v>
      </c>
    </row>
    <row r="234" spans="1:2" ht="14.45" customHeight="1" x14ac:dyDescent="0.25">
      <c r="A234" s="2" t="s">
        <v>900</v>
      </c>
      <c r="B234" s="2">
        <v>1</v>
      </c>
    </row>
    <row r="235" spans="1:2" ht="14.45" customHeight="1" x14ac:dyDescent="0.25">
      <c r="A235" s="2" t="s">
        <v>901</v>
      </c>
      <c r="B235" s="2">
        <v>1</v>
      </c>
    </row>
    <row r="236" spans="1:2" ht="14.45" customHeight="1" x14ac:dyDescent="0.25">
      <c r="A236" s="2" t="s">
        <v>902</v>
      </c>
      <c r="B236" s="2">
        <v>1</v>
      </c>
    </row>
    <row r="237" spans="1:2" ht="14.45" customHeight="1" x14ac:dyDescent="0.25">
      <c r="A237" s="2" t="s">
        <v>903</v>
      </c>
      <c r="B237" s="2">
        <v>1</v>
      </c>
    </row>
    <row r="238" spans="1:2" ht="14.45" customHeight="1" x14ac:dyDescent="0.25">
      <c r="A238" s="2" t="s">
        <v>904</v>
      </c>
      <c r="B238" s="2">
        <v>1</v>
      </c>
    </row>
    <row r="239" spans="1:2" ht="14.45" customHeight="1" x14ac:dyDescent="0.25">
      <c r="A239" s="2" t="s">
        <v>905</v>
      </c>
      <c r="B239" s="2">
        <v>0.9</v>
      </c>
    </row>
    <row r="240" spans="1:2" ht="14.45" customHeight="1" x14ac:dyDescent="0.25">
      <c r="A240" s="2" t="s">
        <v>906</v>
      </c>
      <c r="B240" s="2">
        <v>1.1000000000000001</v>
      </c>
    </row>
    <row r="241" spans="1:2" ht="14.45" customHeight="1" x14ac:dyDescent="0.25">
      <c r="A241" s="2" t="s">
        <v>907</v>
      </c>
      <c r="B241" s="2">
        <v>1.3</v>
      </c>
    </row>
    <row r="242" spans="1:2" ht="14.45" customHeight="1" x14ac:dyDescent="0.25">
      <c r="A242" s="2" t="s">
        <v>908</v>
      </c>
      <c r="B242" s="2">
        <v>1</v>
      </c>
    </row>
    <row r="243" spans="1:2" ht="14.45" customHeight="1" x14ac:dyDescent="0.25">
      <c r="A243" t="s">
        <v>909</v>
      </c>
      <c r="B243" s="2">
        <v>1</v>
      </c>
    </row>
    <row r="244" spans="1:2" ht="14.45" customHeight="1" x14ac:dyDescent="0.25">
      <c r="A244" s="2" t="s">
        <v>910</v>
      </c>
      <c r="B244" s="2">
        <v>1</v>
      </c>
    </row>
    <row r="245" spans="1:2" ht="14.45" customHeight="1" x14ac:dyDescent="0.25">
      <c r="A245" s="2" t="s">
        <v>911</v>
      </c>
      <c r="B245" s="2">
        <v>1</v>
      </c>
    </row>
    <row r="246" spans="1:2" ht="14.45" customHeight="1" x14ac:dyDescent="0.25">
      <c r="A246" s="2" t="s">
        <v>912</v>
      </c>
      <c r="B246" s="2">
        <v>1</v>
      </c>
    </row>
    <row r="247" spans="1:2" ht="14.45" customHeight="1" x14ac:dyDescent="0.25">
      <c r="A247" s="2" t="s">
        <v>913</v>
      </c>
      <c r="B247" s="2">
        <v>1</v>
      </c>
    </row>
    <row r="248" spans="1:2" ht="14.45" customHeight="1" x14ac:dyDescent="0.25">
      <c r="A248" s="2" t="s">
        <v>914</v>
      </c>
      <c r="B248" s="2">
        <v>1</v>
      </c>
    </row>
    <row r="249" spans="1:2" ht="14.45" customHeight="1" x14ac:dyDescent="0.25">
      <c r="A249" s="2" t="s">
        <v>915</v>
      </c>
      <c r="B249" s="2">
        <v>1</v>
      </c>
    </row>
    <row r="250" spans="1:2" ht="14.45" customHeight="1" x14ac:dyDescent="0.25">
      <c r="A250" s="2" t="s">
        <v>916</v>
      </c>
      <c r="B250" s="2">
        <v>1.2</v>
      </c>
    </row>
    <row r="251" spans="1:2" ht="14.45" customHeight="1" x14ac:dyDescent="0.25">
      <c r="A251" s="2" t="s">
        <v>917</v>
      </c>
      <c r="B251" s="2">
        <v>1</v>
      </c>
    </row>
    <row r="252" spans="1:2" ht="14.45" customHeight="1" x14ac:dyDescent="0.25">
      <c r="A252" s="2" t="s">
        <v>918</v>
      </c>
      <c r="B252" s="2">
        <v>0.9</v>
      </c>
    </row>
    <row r="253" spans="1:2" ht="14.45" customHeight="1" x14ac:dyDescent="0.25">
      <c r="A253" s="2" t="s">
        <v>919</v>
      </c>
      <c r="B253" s="2">
        <v>1</v>
      </c>
    </row>
    <row r="254" spans="1:2" ht="14.45" customHeight="1" x14ac:dyDescent="0.25">
      <c r="A254" s="2" t="s">
        <v>920</v>
      </c>
      <c r="B254" s="2">
        <v>0.8</v>
      </c>
    </row>
    <row r="255" spans="1:2" ht="14.45" customHeight="1" x14ac:dyDescent="0.25">
      <c r="A255" s="2" t="s">
        <v>921</v>
      </c>
      <c r="B255" s="2">
        <v>1</v>
      </c>
    </row>
    <row r="256" spans="1:2" ht="14.45" customHeight="1" x14ac:dyDescent="0.25">
      <c r="A256" s="2" t="s">
        <v>922</v>
      </c>
      <c r="B256" s="2">
        <v>1.6</v>
      </c>
    </row>
    <row r="257" spans="1:2" ht="14.45" customHeight="1" x14ac:dyDescent="0.25">
      <c r="A257" s="2" t="s">
        <v>923</v>
      </c>
      <c r="B257" s="2">
        <v>1</v>
      </c>
    </row>
    <row r="258" spans="1:2" ht="14.45" customHeight="1" x14ac:dyDescent="0.25">
      <c r="A258" s="2" t="s">
        <v>924</v>
      </c>
      <c r="B258" s="2">
        <v>1.5</v>
      </c>
    </row>
    <row r="259" spans="1:2" ht="14.45" customHeight="1" x14ac:dyDescent="0.25">
      <c r="A259" s="2" t="s">
        <v>925</v>
      </c>
      <c r="B259" s="2">
        <v>1</v>
      </c>
    </row>
    <row r="260" spans="1:2" ht="14.45" customHeight="1" x14ac:dyDescent="0.25">
      <c r="A260" s="2" t="s">
        <v>926</v>
      </c>
      <c r="B260" s="2">
        <v>1</v>
      </c>
    </row>
    <row r="261" spans="1:2" ht="14.45" customHeight="1" x14ac:dyDescent="0.25">
      <c r="A261" s="2" t="s">
        <v>927</v>
      </c>
      <c r="B261" s="2">
        <v>1</v>
      </c>
    </row>
    <row r="262" spans="1:2" ht="14.45" customHeight="1" x14ac:dyDescent="0.25">
      <c r="A262" s="2" t="s">
        <v>928</v>
      </c>
      <c r="B262" s="2">
        <v>1.4</v>
      </c>
    </row>
    <row r="263" spans="1:2" ht="14.45" customHeight="1" x14ac:dyDescent="0.25">
      <c r="A263" s="2" t="s">
        <v>929</v>
      </c>
      <c r="B263" s="2">
        <v>1</v>
      </c>
    </row>
    <row r="264" spans="1:2" ht="14.45" customHeight="1" x14ac:dyDescent="0.25">
      <c r="A264" s="2" t="s">
        <v>930</v>
      </c>
      <c r="B264" s="2">
        <v>1</v>
      </c>
    </row>
    <row r="265" spans="1:2" ht="14.45" customHeight="1" x14ac:dyDescent="0.25">
      <c r="A265" s="2" t="s">
        <v>931</v>
      </c>
      <c r="B265" s="2">
        <v>0.9</v>
      </c>
    </row>
    <row r="266" spans="1:2" ht="14.45" customHeight="1" x14ac:dyDescent="0.25">
      <c r="A266" s="2" t="s">
        <v>932</v>
      </c>
      <c r="B266" s="2">
        <v>1</v>
      </c>
    </row>
    <row r="267" spans="1:2" ht="14.45" customHeight="1" x14ac:dyDescent="0.25">
      <c r="A267" s="2" t="s">
        <v>933</v>
      </c>
      <c r="B267" s="2">
        <v>1</v>
      </c>
    </row>
    <row r="268" spans="1:2" ht="14.45" customHeight="1" x14ac:dyDescent="0.25">
      <c r="A268" s="2" t="s">
        <v>934</v>
      </c>
      <c r="B268" s="2">
        <v>1</v>
      </c>
    </row>
    <row r="269" spans="1:2" ht="14.45" customHeight="1" x14ac:dyDescent="0.25">
      <c r="A269" s="2" t="s">
        <v>935</v>
      </c>
      <c r="B269" s="2">
        <v>0.9</v>
      </c>
    </row>
    <row r="270" spans="1:2" ht="14.45" customHeight="1" x14ac:dyDescent="0.25">
      <c r="A270" s="2" t="s">
        <v>936</v>
      </c>
      <c r="B270" s="2">
        <v>1</v>
      </c>
    </row>
    <row r="271" spans="1:2" ht="14.45" customHeight="1" x14ac:dyDescent="0.25">
      <c r="A271" s="2" t="s">
        <v>937</v>
      </c>
      <c r="B271" s="2">
        <v>1.4</v>
      </c>
    </row>
    <row r="272" spans="1:2" ht="14.45" customHeight="1" x14ac:dyDescent="0.25">
      <c r="A272" s="2" t="s">
        <v>938</v>
      </c>
      <c r="B272" s="2">
        <v>1.6</v>
      </c>
    </row>
    <row r="273" spans="1:2" ht="14.45" customHeight="1" x14ac:dyDescent="0.25">
      <c r="A273" s="2" t="s">
        <v>939</v>
      </c>
      <c r="B273" s="2">
        <v>1.1000000000000001</v>
      </c>
    </row>
    <row r="274" spans="1:2" ht="14.45" customHeight="1" x14ac:dyDescent="0.25">
      <c r="A274" s="2" t="s">
        <v>940</v>
      </c>
      <c r="B274" s="2">
        <v>1.5</v>
      </c>
    </row>
    <row r="275" spans="1:2" ht="14.45" customHeight="1" x14ac:dyDescent="0.25">
      <c r="A275" s="2" t="s">
        <v>941</v>
      </c>
      <c r="B275" s="2">
        <v>0.9</v>
      </c>
    </row>
    <row r="276" spans="1:2" ht="14.45" customHeight="1" x14ac:dyDescent="0.25">
      <c r="A276" s="2" t="s">
        <v>942</v>
      </c>
      <c r="B276" s="2">
        <v>1</v>
      </c>
    </row>
    <row r="277" spans="1:2" ht="14.45" customHeight="1" x14ac:dyDescent="0.25">
      <c r="A277" s="2" t="s">
        <v>943</v>
      </c>
      <c r="B277" s="2">
        <v>1</v>
      </c>
    </row>
    <row r="278" spans="1:2" ht="14.45" customHeight="1" x14ac:dyDescent="0.25">
      <c r="A278" s="2" t="s">
        <v>944</v>
      </c>
      <c r="B278" s="2">
        <v>1.4</v>
      </c>
    </row>
    <row r="279" spans="1:2" ht="14.45" customHeight="1" x14ac:dyDescent="0.25">
      <c r="A279" s="2" t="s">
        <v>945</v>
      </c>
      <c r="B279" s="2">
        <v>1.1000000000000001</v>
      </c>
    </row>
    <row r="280" spans="1:2" ht="14.45" customHeight="1" x14ac:dyDescent="0.25">
      <c r="A280" s="2" t="s">
        <v>946</v>
      </c>
      <c r="B280" s="2">
        <v>1.5</v>
      </c>
    </row>
    <row r="281" spans="1:2" ht="14.45" customHeight="1" x14ac:dyDescent="0.25">
      <c r="A281" s="2" t="s">
        <v>947</v>
      </c>
      <c r="B281" s="2">
        <v>0.9</v>
      </c>
    </row>
    <row r="282" spans="1:2" ht="14.45" customHeight="1" x14ac:dyDescent="0.25">
      <c r="A282" s="2" t="s">
        <v>948</v>
      </c>
      <c r="B282" s="2">
        <v>0.9</v>
      </c>
    </row>
    <row r="283" spans="1:2" ht="14.45" customHeight="1" x14ac:dyDescent="0.25">
      <c r="A283" s="2" t="s">
        <v>949</v>
      </c>
      <c r="B283" s="2">
        <v>1</v>
      </c>
    </row>
    <row r="284" spans="1:2" ht="14.45" customHeight="1" x14ac:dyDescent="0.25">
      <c r="A284" s="2" t="s">
        <v>950</v>
      </c>
      <c r="B284" s="2">
        <v>1</v>
      </c>
    </row>
    <row r="285" spans="1:2" ht="14.45" customHeight="1" x14ac:dyDescent="0.25">
      <c r="A285" s="2" t="s">
        <v>951</v>
      </c>
      <c r="B285" s="2">
        <v>1</v>
      </c>
    </row>
    <row r="286" spans="1:2" ht="14.45" customHeight="1" x14ac:dyDescent="0.25">
      <c r="A286" s="2" t="s">
        <v>952</v>
      </c>
      <c r="B286" s="2">
        <v>1.3</v>
      </c>
    </row>
    <row r="287" spans="1:2" ht="14.45" customHeight="1" x14ac:dyDescent="0.25">
      <c r="A287" s="2" t="s">
        <v>953</v>
      </c>
      <c r="B287" s="2">
        <v>1.4</v>
      </c>
    </row>
    <row r="288" spans="1:2" ht="14.45" customHeight="1" x14ac:dyDescent="0.25">
      <c r="A288" s="2" t="s">
        <v>954</v>
      </c>
      <c r="B288" s="2">
        <v>1</v>
      </c>
    </row>
    <row r="289" spans="1:2" ht="14.45" customHeight="1" x14ac:dyDescent="0.25">
      <c r="A289" s="2" t="s">
        <v>955</v>
      </c>
      <c r="B289" s="2">
        <v>1.1000000000000001</v>
      </c>
    </row>
    <row r="290" spans="1:2" ht="14.45" customHeight="1" x14ac:dyDescent="0.25">
      <c r="A290" s="2" t="s">
        <v>956</v>
      </c>
      <c r="B290" s="2">
        <v>0.9</v>
      </c>
    </row>
    <row r="291" spans="1:2" ht="14.45" customHeight="1" x14ac:dyDescent="0.25">
      <c r="A291" s="2" t="s">
        <v>957</v>
      </c>
      <c r="B291" s="2">
        <v>1.6</v>
      </c>
    </row>
    <row r="292" spans="1:2" ht="14.45" customHeight="1" x14ac:dyDescent="0.25">
      <c r="A292" s="2" t="s">
        <v>958</v>
      </c>
      <c r="B292" s="2">
        <v>1.6</v>
      </c>
    </row>
  </sheetData>
  <sheetProtection algorithmName="SHA-512" hashValue="xeNQlCMS0vrDFjDJGl8Bp47zS+eKwjPKAAAwOMBsjNs4SwpNpbfcmwfKzpXJg/yuN+y1aEAm7RzwR1ky1D1PuA==" saltValue="XsZdgtSYQl6tfyc36NZ2vQ==" spinCount="100000" sheet="1" objects="1" scenarios="1"/>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kf5321c52a534cb6a765f3faf36eabeb xmlns="dcde71ca-9dfb-4c82-8800-e96cfebae0f3">
      <Terms xmlns="http://schemas.microsoft.com/office/infopath/2007/PartnerControls">
        <TermInfo xmlns="http://schemas.microsoft.com/office/infopath/2007/PartnerControls">
          <TermName xmlns="http://schemas.microsoft.com/office/infopath/2007/PartnerControls">Sektion MLJ Energi ＆ Miljö Stockholm</TermName>
          <TermId xmlns="http://schemas.microsoft.com/office/infopath/2007/PartnerControls">1df09af4-21aa-4874-a2a7-9a019f68d629</TermId>
        </TermInfo>
      </Terms>
    </kf5321c52a534cb6a765f3faf36eabeb>
    <jf1988eb52d6465e8812b6a4879bb9c1 xmlns="dcde71ca-9dfb-4c82-8800-e96cfebae0f3">
      <Terms xmlns="http://schemas.microsoft.com/office/infopath/2007/PartnerControls"/>
    </jf1988eb52d6465e8812b6a4879bb9c1>
    <TaxCatchAll xmlns="dcde71ca-9dfb-4c82-8800-e96cfebae0f3">
      <Value>1</Value>
    </TaxCatchAll>
    <DWSiteArchived xmlns="dcde71ca-9dfb-4c82-8800-e96cfebae0f3">false</DWSiteArchived>
    <b89223313b284f2a879bf9c1e2dff829 xmlns="dcde71ca-9dfb-4c82-8800-e96cfebae0f3">
      <Terms xmlns="http://schemas.microsoft.com/office/infopath/2007/PartnerControls"/>
    </b89223313b284f2a879bf9c1e2dff829>
  </documentManagement>
</p:properties>
</file>

<file path=customXml/item4.xml><?xml version="1.0" encoding="utf-8"?>
<ct:contentTypeSchema xmlns:ct="http://schemas.microsoft.com/office/2006/metadata/contentType" xmlns:ma="http://schemas.microsoft.com/office/2006/metadata/properties/metaAttributes" ct:_="" ma:_="" ma:contentTypeName="Samverkansdokument" ma:contentTypeID="0x010100B16161C1156749828247A73D7190880000E1BF22F44F074BC5BE282C55B010BFF100E14FADE2A4B1974798D1EC68845A1137" ma:contentTypeVersion="8" ma:contentTypeDescription="" ma:contentTypeScope="" ma:versionID="e1a429494b3f2304cc9d5539e22cd61d">
  <xsd:schema xmlns:xsd="http://www.w3.org/2001/XMLSchema" xmlns:xs="http://www.w3.org/2001/XMLSchema" xmlns:p="http://schemas.microsoft.com/office/2006/metadata/properties" xmlns:ns2="dcde71ca-9dfb-4c82-8800-e96cfebae0f3" xmlns:ns3="8ae4dbce-a0a2-4848-9c82-2636bee423bc" targetNamespace="http://schemas.microsoft.com/office/2006/metadata/properties" ma:root="true" ma:fieldsID="cb3a7a5d4b8a4f38adf2150bb760355d" ns2:_="" ns3:_="">
    <xsd:import namespace="dcde71ca-9dfb-4c82-8800-e96cfebae0f3"/>
    <xsd:import namespace="8ae4dbce-a0a2-4848-9c82-2636bee423bc"/>
    <xsd:element name="properties">
      <xsd:complexType>
        <xsd:sequence>
          <xsd:element name="documentManagement">
            <xsd:complexType>
              <xsd:all>
                <xsd:element ref="ns2:kf5321c52a534cb6a765f3faf36eabeb" minOccurs="0"/>
                <xsd:element ref="ns2:TaxCatchAll" minOccurs="0"/>
                <xsd:element ref="ns2:TaxCatchAllLabel" minOccurs="0"/>
                <xsd:element ref="ns2:b89223313b284f2a879bf9c1e2dff829" minOccurs="0"/>
                <xsd:element ref="ns2:jf1988eb52d6465e8812b6a4879bb9c1" minOccurs="0"/>
                <xsd:element ref="ns2:DWSiteArchive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e71ca-9dfb-4c82-8800-e96cfebae0f3" elementFormDefault="qualified">
    <xsd:import namespace="http://schemas.microsoft.com/office/2006/documentManagement/types"/>
    <xsd:import namespace="http://schemas.microsoft.com/office/infopath/2007/PartnerControls"/>
    <xsd:element name="kf5321c52a534cb6a765f3faf36eabeb" ma:index="8" nillable="true" ma:taxonomy="true" ma:internalName="kf5321c52a534cb6a765f3faf36eabeb" ma:taxonomyFieldName="DWDivision" ma:displayName="Organisation" ma:default="1;#Sektion MLJ Energi ＆ Miljö Stockholm|1df09af4-21aa-4874-a2a7-9a019f68d629" ma:fieldId="{4f5321c5-2a53-4cb6-a765-f3faf36eabeb}" ma:sspId="55fa7661-3cff-46e8-a3ed-6492cca6b4b1" ma:termSetId="5ba9bd17-a463-450c-a946-6addf55a679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b089818-c12b-4238-ba52-43cfcb8272e8}" ma:internalName="TaxCatchAll" ma:showField="CatchAllData"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b089818-c12b-4238-ba52-43cfcb8272e8}" ma:internalName="TaxCatchAllLabel" ma:readOnly="true" ma:showField="CatchAllDataLabel"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b89223313b284f2a879bf9c1e2dff829" ma:index="12" nillable="true" ma:taxonomy="true" ma:internalName="b89223313b284f2a879bf9c1e2dff829" ma:taxonomyFieldName="DWTaxonomyDocumentType" ma:displayName="Dokumenttyp (taggar)" ma:fieldId="{b8922331-3b28-4f2a-879b-f9c1e2dff829}" ma:sspId="55fa7661-3cff-46e8-a3ed-6492cca6b4b1" ma:termSetId="87ad6343-2cbd-4661-a325-8dbbb6388c47" ma:anchorId="00000000-0000-0000-0000-000000000000" ma:open="false" ma:isKeyword="false">
      <xsd:complexType>
        <xsd:sequence>
          <xsd:element ref="pc:Terms" minOccurs="0" maxOccurs="1"/>
        </xsd:sequence>
      </xsd:complexType>
    </xsd:element>
    <xsd:element name="jf1988eb52d6465e8812b6a4879bb9c1" ma:index="14" nillable="true" ma:taxonomy="true" ma:internalName="jf1988eb52d6465e8812b6a4879bb9c1" ma:taxonomyFieldName="DWTechnicalArea" ma:displayName="Teknikområde" ma:fieldId="{3f1988eb-52d6-465e-8812-b6a4879bb9c1}" ma:sspId="55fa7661-3cff-46e8-a3ed-6492cca6b4b1" ma:termSetId="bd7f406c-ac33-4626-89da-cbddd7ebd118" ma:anchorId="00000000-0000-0000-0000-000000000000" ma:open="false" ma:isKeyword="false">
      <xsd:complexType>
        <xsd:sequence>
          <xsd:element ref="pc:Terms" minOccurs="0" maxOccurs="1"/>
        </xsd:sequence>
      </xsd:complexType>
    </xsd:element>
    <xsd:element name="DWSiteArchived" ma:index="16" nillable="true" ma:displayName="Archived" ma:default="0" ma:internalName="DWSit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e4dbce-a0a2-4848-9c82-2636bee423b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87A37-5BB9-4AD3-845A-7F7EC5656E02}">
  <ds:schemaRefs>
    <ds:schemaRef ds:uri="http://schemas.microsoft.com/sharepoint/v3/contenttype/forms"/>
  </ds:schemaRefs>
</ds:datastoreItem>
</file>

<file path=customXml/itemProps2.xml><?xml version="1.0" encoding="utf-8"?>
<ds:datastoreItem xmlns:ds="http://schemas.openxmlformats.org/officeDocument/2006/customXml" ds:itemID="{61716843-3273-4CB3-A663-DB59D8DF02CB}">
  <ds:schemaRefs>
    <ds:schemaRef ds:uri="http://schemas.microsoft.com/DataMashup"/>
  </ds:schemaRefs>
</ds:datastoreItem>
</file>

<file path=customXml/itemProps3.xml><?xml version="1.0" encoding="utf-8"?>
<ds:datastoreItem xmlns:ds="http://schemas.openxmlformats.org/officeDocument/2006/customXml" ds:itemID="{3BD862A8-13BF-4AE5-A7B8-E8C9C62613E5}">
  <ds:schemaRef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dcde71ca-9dfb-4c82-8800-e96cfebae0f3"/>
    <ds:schemaRef ds:uri="http://schemas.microsoft.com/office/infopath/2007/PartnerControls"/>
    <ds:schemaRef ds:uri="8ae4dbce-a0a2-4848-9c82-2636bee423bc"/>
    <ds:schemaRef ds:uri="http://purl.org/dc/elements/1.1/"/>
  </ds:schemaRefs>
</ds:datastoreItem>
</file>

<file path=customXml/itemProps4.xml><?xml version="1.0" encoding="utf-8"?>
<ds:datastoreItem xmlns:ds="http://schemas.openxmlformats.org/officeDocument/2006/customXml" ds:itemID="{8FBB2E20-90B5-4E27-9ADC-0320D5B7B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e71ca-9dfb-4c82-8800-e96cfebae0f3"/>
    <ds:schemaRef ds:uri="8ae4dbce-a0a2-4848-9c82-2636bee423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Start &amp; resultat</vt:lpstr>
      <vt:lpstr>A. Byggnadsinfo med BBR</vt:lpstr>
      <vt:lpstr>B1. Resultat beräkning</vt:lpstr>
      <vt:lpstr>B2. Indata beräkning</vt:lpstr>
      <vt:lpstr>UHM</vt:lpstr>
      <vt:lpstr>VFT</vt:lpstr>
      <vt:lpstr>C1. Resultat mätning</vt:lpstr>
      <vt:lpstr>PETberäkning</vt:lpstr>
      <vt:lpstr>C2. Inmatning och verifiering</vt:lpstr>
      <vt:lpstr>C3. Normaliseringsunderlag</vt:lpstr>
      <vt:lpstr>C4. Underlag-mätplan</vt:lpstr>
      <vt:lpstr>Fgeo</vt:lpstr>
      <vt:lpstr>BBRversion</vt:lpstr>
      <vt:lpstr>Byggnadskategori</vt:lpstr>
      <vt:lpstr>Byggnadskomplexitet</vt:lpstr>
      <vt:lpstr>Byggnadstyp</vt:lpstr>
      <vt:lpstr>Egen_beteckning</vt:lpstr>
      <vt:lpstr>Kommun</vt:lpstr>
      <vt:lpstr>'C2. Inmatning och verifiering'!Kommunnamn</vt:lpstr>
      <vt:lpstr>Kommunnamn</vt:lpstr>
      <vt:lpstr>'C1. Resultat mätning'!Utskriftsområde</vt:lpstr>
      <vt:lpstr>'C2. Inmatning och verifiering'!Utskriftsområde</vt:lpstr>
      <vt:lpstr>'C3. Normaliseringsunderlag'!Utskriftsområde</vt:lpstr>
      <vt:lpstr>'C4. Underlag-mätplan'!Utskriftsområde</vt:lpstr>
      <vt:lpstr>UUID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Sveby</dc:creator>
  <cp:keywords/>
  <dc:description/>
  <cp:lastModifiedBy>Per Levin</cp:lastModifiedBy>
  <cp:revision/>
  <dcterms:created xsi:type="dcterms:W3CDTF">2011-05-05T08:28:42Z</dcterms:created>
  <dcterms:modified xsi:type="dcterms:W3CDTF">2023-02-21T13:24:33Z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0x010100B16161C1156749828247A73D7190880000E1BF22F44F074BC5BE282C55B010BFF100E14FADE2A4B1974798D1EC68845A1137</vt:lpwstr>
  </property>
  <property fmtid="{D5CDD505-2E9C-101B-9397-08002B2CF9AE}" pid="3" name="DWDivision">
    <vt:lpwstr>1;#Sektion MLJ Energi ＆ Miljö Stockholm|1df09af4-21aa-4874-a2a7-9a019f68d629</vt:lpwstr>
  </property>
  <property fmtid="{D5CDD505-2E9C-101B-9397-08002B2CF9AE}" pid="4" name="DWTechnicalArea">
    <vt:lpwstr/>
  </property>
  <property fmtid="{D5CDD505-2E9C-101B-9397-08002B2CF9AE}" pid="5" name="DWTaxonomyDocumentType">
    <vt:lpwstr/>
  </property>
</Properties>
</file>